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7219b23b6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2c116bf3e274a2f"/>
    <x:sheet xmlns:r="http://schemas.openxmlformats.org/officeDocument/2006/relationships" name="Grant BOM" sheetId="2" r:id="Rf74328cc85d245e3"/>
    <x:sheet xmlns:r="http://schemas.openxmlformats.org/officeDocument/2006/relationships" name="Sources and Funding" sheetId="3" r:id="Re248e2f7adcb46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($#,##0.00);&quot;$0.00&quot;"/>
    <x:numFmt numFmtId="201" formatCode="0.00%"/>
    <x:numFmt numFmtId="202" formatCode="0"/>
  </x:numFmts>
  <x:fonts count="11">
    <x:font>
      <x:sz val="11"/>
      <x:name val="Carlito"/>
    </x:font>
    <x:font>
      <x:sz val="11"/>
      <x:color rgb="FF173547"/>
      <x:name val="Arial"/>
    </x:font>
    <x:font>
      <x:b/>
      <x:sz val="19"/>
      <x:color rgb="FF173547"/>
      <x:name val="Arial"/>
    </x:font>
    <x:font>
      <x:sz val="11"/>
      <x:color rgb="FF526775"/>
      <x:name val="Arial"/>
    </x:font>
    <x:font>
      <x:b/>
      <x:sz val="11"/>
      <x:color rgb="FFFFFFFF"/>
      <x:name val="Arial"/>
    </x:font>
    <x:font>
      <x:sz val="12"/>
      <x:color rgb="FF137A46"/>
      <x:name val="Arial"/>
    </x:font>
    <x:font>
      <x:b/>
      <x:sz val="12"/>
      <x:color rgb="FFFFFFFF"/>
      <x:name val="Arial"/>
    </x:font>
    <x:font>
      <x:b/>
      <x:sz val="12"/>
      <x:color rgb="FF173547"/>
      <x:name val="Arial"/>
    </x:font>
    <x:font>
      <x:sz val="11"/>
      <x:color rgb="FF205CA4"/>
      <x:name val="Arial"/>
    </x:font>
    <x:font>
      <x:sz val="11"/>
      <x:color rgb="FF111111"/>
      <x:name val="Arial"/>
    </x:font>
    <x:font>
      <x:sz val="11"/>
      <x:color rgb="FF137A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547"/>
      </x:patternFill>
    </x:fill>
    <x:fill>
      <x:patternFill patternType="solid">
        <x:fgColor rgb="FFFFF0CE"/>
      </x:patternFill>
    </x:fill>
    <x:fill>
      <x:patternFill patternType="solid">
        <x:fgColor rgb="FFFFFFFF"/>
      </x:patternFill>
    </x:fill>
    <x:fill>
      <x:patternFill patternType="solid">
        <x:fgColor rgb="FFF0F5F6"/>
      </x:patternFill>
    </x:fill>
  </x:fills>
  <x:borders count="1">
    <x:border/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2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2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9" fillId="4" borderId="0" xfId="0" applyNumberFormat="1" applyFont="1" applyFill="1" applyBorder="1" applyAlignment="1">
      <x:alignment vertical="center" wrapText="1"/>
    </x:xf>
    <x:xf numFmtId="200" fontId="9" fillId="5" borderId="0" xfId="0" applyNumberFormat="1" applyFont="1" applyFill="1" applyBorder="1" applyAlignment="1">
      <x:alignment vertical="center" wrapText="1"/>
    </x:xf>
    <x:xf numFmtId="200" fontId="10" fillId="4" borderId="0" xfId="0" applyNumberFormat="1" applyFont="1" applyFill="1" applyBorder="1" applyAlignment="1">
      <x:alignment vertical="center" wrapText="1"/>
    </x:xf>
    <x:xf numFmtId="200" fontId="10" fillId="5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color rgb="FF7D5319"/>
      </x:font>
      <x:fill>
        <x:patternFill patternType="solid">
          <x:bgColor rgb="FFFFF0CE"/>
        </x:patternFill>
      </x:fill>
    </x:dxf>
    <x:dxf>
      <x:font>
        <x:b/>
        <x:color rgb="FF7D5319"/>
      </x:font>
      <x:fill>
        <x:patternFill patternType="solid"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09023bd3d4ece" /><Relationship Type="http://schemas.openxmlformats.org/officeDocument/2006/relationships/theme" Target="/xl/theme/theme1.xml" Id="R14f4bec15801436f" /><Relationship Type="http://schemas.openxmlformats.org/officeDocument/2006/relationships/sharedStrings" Target="/xl/sharedStrings.xml" Id="R304e012a5d3a4ee4" /><Relationship Type="http://schemas.openxmlformats.org/officeDocument/2006/relationships/worksheet" Target="/xl/worksheets/sheet1.xml" Id="R02c116bf3e274a2f" /><Relationship Type="http://schemas.openxmlformats.org/officeDocument/2006/relationships/worksheet" Target="/xl/worksheets/sheet2.xml" Id="Rf74328cc85d245e3" /><Relationship Type="http://schemas.openxmlformats.org/officeDocument/2006/relationships/worksheet" Target="/xl/worksheets/sheet3.xml" Id="Re248e2f7adcb46d6" /></Relationships>
</file>

<file path=xl/tables/table1.xml><?xml version="1.0" encoding="utf-8"?>
<x:table xmlns:x="http://schemas.openxmlformats.org/spreadsheetml/2006/main" id="1" name="GrantBOM" displayName="GrantBOM" ref="A7:I63" headerRowCount="1" totalsRowCount="0" totalsRowShown="0">
  <x:autoFilter ref="A7:I63"/>
  <x:tableColumns count="9">
    <x:tableColumn id="1" name="Item"/>
    <x:tableColumn id="2" name="Qty"/>
    <x:tableColumn id="3" name="Exact model/spec"/>
    <x:tableColumn id="4" name="Vendor"/>
    <x:tableColumn id="5" name="Unit price"/>
    <x:tableColumn id="6" name="Subtotal"/>
    <x:tableColumn id="7" name="Required/Optional"/>
    <x:tableColumn id="8" name="Confirmed price/Estimate"/>
    <x:tableColumn id="9" name="Grant-funded/User-fun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6e9a4eb06344787" /></Relationships>
</file>

<file path=xl/worksheets/sheet1.xml><?xml version="1.0" encoding="utf-8"?>
<x:worksheet xmlns:x="http://schemas.openxmlformats.org/spreadsheetml/2006/main">
  <x:sheetPr>
    <x:tabColor rgb="FF007F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.380001068115234" hidden="0" customWidth="1"/>
    <x:col min="2" max="2" width="20.6299991607666" hidden="0" customWidth="1"/>
    <x:col min="3" max="3" width="3.5" hidden="0" customWidth="1"/>
    <x:col min="4" max="4" width="43.75" hidden="0" customWidth="1"/>
    <x:col min="5" max="5" width="20.6299991607666" hidden="0" customWidth="1"/>
    <x:col min="6" max="6" width="42.5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6" customHeight="1">
      <x:c r="A2" s="3" t="str">
        <x:v>Open Solar Trailer | v06 Victron Grant Budget</x:v>
      </x:c>
      <x:c r="B2" s="2"/>
      <x:c r="C2" s="2"/>
      <x:c r="D2" s="2"/>
      <x:c r="E2" s="2"/>
      <x:c r="F2" s="2"/>
    </x:row>
    <x:row r="3" ht="40" customHeight="1">
      <x:c r="A3" s="5" t="str">
        <x:v>17 September 2026 • USD • DC-02 Victron equipment selected by owner. Priced planning BOM; funding gap, estimates and engineering decisions remain explicit.</x:v>
      </x:c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42" customHeight="1">
      <x:c r="A5" s="8" t="str">
        <x:v>Required project budget</x:v>
      </x:c>
      <x:c r="B5" s="8" t="str">
        <x:v>USD</x:v>
      </x:c>
      <x:c r="C5" s="2"/>
      <x:c r="D5" s="8" t="str">
        <x:v>Scope and funding basis</x:v>
      </x:c>
      <x:c r="E5" s="8"/>
      <x:c r="F5" s="8"/>
    </x:row>
    <x:row r="6" ht="26" customHeight="1">
      <x:c r="A6" s="2" t="str">
        <x:v>Required materials</x:v>
      </x:c>
      <x:c r="B6" s="10" t="n">
        <x:f>SUM('Grant BOM'!F8:F53)</x:f>
        <x:v>13797.89</x:v>
      </x:c>
      <x:c r="C6" s="2"/>
      <x:c r="D6" s="18" t="str">
        <x:v>8 matched 445–450 W modules target approximately 3.6 kW. Used / surplus procurement is preferred; no set is reserved.</x:v>
      </x:c>
      <x:c r="E6" s="18"/>
      <x:c r="F6" s="18"/>
    </x:row>
    <x:row r="7" ht="26" customHeight="1">
      <x:c r="A7" s="2" t="str">
        <x:v>Sales / use tax estimate</x:v>
      </x:c>
      <x:c r="B7" s="10" t="n">
        <x:f>'Grant BOM'!F58</x:f>
        <x:v>1207.32</x:v>
      </x:c>
      <x:c r="C7" s="2"/>
      <x:c r="D7" s="18"/>
      <x:c r="E7" s="18"/>
      <x:c r="F7" s="18"/>
    </x:row>
    <x:row r="8" ht="26" customHeight="1">
      <x:c r="A8" s="2" t="str">
        <x:v>Delivery / local collection</x:v>
      </x:c>
      <x:c r="B8" s="10" t="n">
        <x:f>'Grant BOM'!F55</x:f>
        <x:v>550</x:v>
      </x:c>
      <x:c r="C8" s="2"/>
      <x:c r="D8" s="18" t="str">
        <x:v>Four fixed roof panels; two panels per side. Each side is a series pair; side strings share one wing MPPT. Roof uses its own MPPT.</x:v>
      </x:c>
      <x:c r="E8" s="18"/>
      <x:c r="F8" s="18"/>
    </x:row>
    <x:row r="9" ht="26" customHeight="1">
      <x:c r="A9" s="2" t="str">
        <x:v>Trailer fees</x:v>
      </x:c>
      <x:c r="B9" s="10" t="n">
        <x:f>'Grant BOM'!F54</x:f>
        <x:v>250</x:v>
      </x:c>
      <x:c r="C9" s="2"/>
      <x:c r="D9" s="18"/>
      <x:c r="E9" s="18"/>
      <x:c r="F9" s="18"/>
    </x:row>
    <x:row r="10" ht="26" customHeight="1">
      <x:c r="A10" s="2" t="str">
        <x:v>Independent review</x:v>
      </x:c>
      <x:c r="B10" s="10" t="n">
        <x:f>'Grant BOM'!F56</x:f>
        <x:v>500</x:v>
      </x:c>
      <x:c r="C10" s="2"/>
      <x:c r="D10" s="18" t="str">
        <x:v>10.24 kWh nominal storage; Victron MultiPlus-II 48/5000/70, 120 V. Two external SmartSolar 150/35 controllers: roof and shared wings. AC panel main remains 30 A; output derates with heat.</x:v>
      </x:c>
      <x:c r="E10" s="18"/>
      <x:c r="F10" s="18"/>
    </x:row>
    <x:row r="11" ht="26" customHeight="1">
      <x:c r="A11" s="2" t="str">
        <x:v>Owner labor — donated</x:v>
      </x:c>
      <x:c r="B11" s="10" t="n">
        <x:f>'Grant BOM'!F57</x:f>
        <x:v>0</x:v>
      </x:c>
      <x:c r="C11" s="2"/>
      <x:c r="D11" s="18"/>
      <x:c r="E11" s="18"/>
      <x:c r="F11" s="18"/>
    </x:row>
    <x:row r="12" ht="26" customHeight="1">
      <x:c r="A12" s="2" t="str">
        <x:v>Contingency</x:v>
      </x:c>
      <x:c r="B12" s="10" t="n">
        <x:f>'Grant BOM'!F59</x:f>
        <x:v>1222.89</x:v>
      </x:c>
      <x:c r="C12" s="2"/>
      <x:c r="D12" s="18" t="str">
        <x:v>Owner contributes $6,000 cash plus donated labor and existing tools. Labor is $0 cash; no unsupported in-kind dollar valuation.</x:v>
      </x:c>
      <x:c r="E12" s="18"/>
      <x:c r="F12" s="18"/>
    </x:row>
    <x:row r="13" ht="26" customHeight="1">
      <x:c r="A13" s="2"/>
      <x:c r="B13" s="10"/>
      <x:c r="C13" s="2"/>
      <x:c r="D13" s="18"/>
      <x:c r="E13" s="18"/>
      <x:c r="F13" s="18"/>
    </x:row>
    <x:row r="14" ht="36" customHeight="1">
      <x:c r="A14" s="12" t="str">
        <x:v>Total required project budget</x:v>
      </x:c>
      <x:c r="B14" s="13" t="n">
        <x:f>IF(COUNT('Grant BOM'!F8:F59)=ROWS('Grant BOM'!F8:F59),SUM(B6:B12),"Pending price")</x:f>
        <x:v>17528.1</x:v>
      </x:c>
      <x:c r="C14" s="2"/>
      <x:c r="D14" s="18" t="str">
        <x:v>Grant-funded means proposed reimbursement, not an award. Funds are allocated to equipment after user cash. No donations or sponsorships are assumed secured.</x:v>
      </x:c>
      <x:c r="E14" s="18"/>
      <x:c r="F14" s="18"/>
    </x:row>
    <x:row r="15" ht="26" customHeight="1">
      <x:c r="A15" s="2"/>
      <x:c r="B15" s="10"/>
      <x:c r="C15" s="2"/>
      <x:c r="D15" s="18"/>
      <x:c r="E15" s="18"/>
      <x:c r="F15" s="18"/>
    </x:row>
    <x:row r="16" ht="26" customHeight="1">
      <x:c r="A16" s="2" t="str">
        <x:v>User cash committed</x:v>
      </x:c>
      <x:c r="B16" s="10" t="n">
        <x:f>B24</x:f>
        <x:v>6000</x:v>
      </x:c>
      <x:c r="C16" s="2"/>
      <x:c r="D16" s="18" t="str">
        <x:v>Used trailer and panels are purchasing targets. Custom fabrication, freight, fees and independent review use explicit allowances. No delivered vendor quote is implied.</x:v>
      </x:c>
      <x:c r="E16" s="18"/>
      <x:c r="F16" s="18"/>
    </x:row>
    <x:row r="17" ht="26" customHeight="1">
      <x:c r="A17" s="2" t="str">
        <x:v>Proposed grant request</x:v>
      </x:c>
      <x:c r="B17" s="10" t="n">
        <x:f>ROUND(SUM('Sources and Funding'!F8:F63),2)</x:f>
        <x:v>10000</x:v>
      </x:c>
      <x:c r="C17" s="2"/>
      <x:c r="D17" s="18"/>
      <x:c r="E17" s="18"/>
      <x:c r="F17" s="18"/>
    </x:row>
    <x:row r="18" ht="36" customHeight="1">
      <x:c r="A18" s="16" t="str">
        <x:v>Additional funding needed</x:v>
      </x:c>
      <x:c r="B18" s="17" t="n">
        <x:f>IF(ISNUMBER(B14),MAX(0,ROUND(B14-B16-B17,2)),"Pending price")</x:f>
        <x:v>1528.1</x:v>
      </x:c>
      <x:c r="C18" s="2"/>
      <x:c r="D18" s="18" t="str">
        <x:v>A positive funding gap must be disclosed and resolved before committing to the full build. The accessibility vehicle, its battery and charger are outside this budget.</x:v>
      </x:c>
      <x:c r="E18" s="18"/>
      <x:c r="F18" s="18"/>
    </x:row>
    <x:row r="19" ht="26" customHeight="1">
      <x:c r="A19" s="2" t="str">
        <x:v>Optional extras — excluded</x:v>
      </x:c>
      <x:c r="B19" s="10" t="n">
        <x:f>SUM('Grant BOM'!F60:F63)</x:f>
        <x:v>514.99</x:v>
      </x:c>
      <x:c r="C19" s="2"/>
      <x:c r="D19" s="18"/>
      <x:c r="E19" s="18"/>
      <x:c r="F19" s="18"/>
    </x:row>
    <x:row r="20" ht="26" customHeight="1">
      <x:c r="A20" s="2" t="str">
        <x:v>Amount above $12,000 target</x:v>
      </x:c>
      <x:c r="B20" s="9" t="n">
        <x:f>IF(ISNUMBER(B14),MAX(0,B14-B31),"Pending price")</x:f>
        <x:v>5528.0999999999985</x:v>
      </x:c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42" customHeight="1">
      <x:c r="A23" s="8" t="str">
        <x:v>Editable planning inputs</x:v>
      </x:c>
      <x:c r="B23" s="8" t="str">
        <x:v>Value</x:v>
      </x:c>
      <x:c r="C23" s="2"/>
      <x:c r="D23" s="8" t="str">
        <x:v>Before purchasing</x:v>
      </x:c>
      <x:c r="E23" s="8"/>
      <x:c r="F23" s="8"/>
    </x:row>
    <x:row r="24" ht="26" customHeight="1">
      <x:c r="A24" s="2" t="str">
        <x:v>User cash commitment</x:v>
      </x:c>
      <x:c r="B24" s="19" t="n">
        <x:v>6000</x:v>
      </x:c>
      <x:c r="C24" s="2"/>
      <x:c r="D24" s="18" t="str">
        <x:v>Trailer: verify clean title, measured usable roof, axle/payload ratings, ramp load and slope, tire/brake condition and access with side wings stowed.</x:v>
      </x:c>
      <x:c r="E24" s="18"/>
      <x:c r="F24" s="18"/>
    </x:row>
    <x:row r="25" ht="26" customHeight="1">
      <x:c r="A25" s="2" t="str">
        <x:v>Proposed grant ceiling</x:v>
      </x:c>
      <x:c r="B25" s="19" t="n">
        <x:v>10000</x:v>
      </x:c>
      <x:c r="C25" s="2"/>
      <x:c r="D25" s="18"/>
      <x:c r="E25" s="18"/>
      <x:c r="F25" s="18"/>
    </x:row>
    <x:row r="26" ht="26" customHeight="1">
      <x:c r="A26" s="2" t="str">
        <x:v>Published grant maximum</x:v>
      </x:c>
      <x:c r="B26" s="19" t="n">
        <x:v>10000</x:v>
      </x:c>
      <x:c r="C26" s="2"/>
      <x:c r="D26" s="18" t="str">
        <x:v>Panels: verify eight matching modules, test output and insulation, inspect damage and confirm roof/wing fit. Check cold 2S voltage and hot operating voltage.</x:v>
      </x:c>
      <x:c r="E26" s="18"/>
      <x:c r="F26" s="18"/>
    </x:row>
    <x:row r="27" ht="26" customHeight="1">
      <x:c r="A27" s="2" t="str">
        <x:v>Corona sales tax assumption</x:v>
      </x:c>
      <x:c r="B27" s="21" t="n">
        <x:v>0.0875</x:v>
      </x:c>
      <x:c r="C27" s="2"/>
      <x:c r="D27" s="18"/>
      <x:c r="E27" s="18"/>
      <x:c r="F27" s="18"/>
    </x:row>
    <x:row r="28" ht="26" customHeight="1">
      <x:c r="A28" s="2" t="str">
        <x:v>Contingency rate</x:v>
      </x:c>
      <x:c r="B28" s="21" t="n">
        <x:v>0.075</x:v>
      </x:c>
      <x:c r="C28" s="2"/>
      <x:c r="D28" s="18" t="str">
        <x:v>Electrical: complete DC-02 device/rating review, battery controls, bank and branch coordination, shunt/junction layout and the AC protection/bonding drawing. Optional 12 V system is not priced.</x:v>
      </x:c>
      <x:c r="E28" s="18"/>
      <x:c r="F28" s="18"/>
    </x:row>
    <x:row r="29" ht="26" customHeight="1">
      <x:c r="A29" s="2" t="str">
        <x:v>Price-check date</x:v>
      </x:c>
      <x:c r="B29" s="22" t="str">
        <x:v>2026-09-17</x:v>
      </x:c>
      <x:c r="C29" s="2"/>
      <x:c r="D29" s="18"/>
      <x:c r="E29" s="18"/>
      <x:c r="F29" s="18"/>
    </x:row>
    <x:row r="30" ht="26" customHeight="1">
      <x:c r="A30" s="2" t="str">
        <x:v>Pricing destination</x:v>
      </x:c>
      <x:c r="B30" s="22" t="str">
        <x:v>Corona, CA 92882</x:v>
      </x:c>
      <x:c r="C30" s="2"/>
      <x:c r="D30" s="18" t="str">
        <x:v>Structure and operation: approve mounts, fatigue and travel restraints; establish wind stow limits, heat/dust procedures and load limits through testing.</x:v>
      </x:c>
      <x:c r="E30" s="18"/>
      <x:c r="F30" s="18"/>
    </x:row>
    <x:row r="31" ht="26" customHeight="1">
      <x:c r="A31" s="2" t="str">
        <x:v>Owner project-cost target</x:v>
      </x:c>
      <x:c r="B31" s="19" t="n">
        <x:v>12000</x:v>
      </x:c>
      <x:c r="C31" s="2"/>
      <x:c r="D31" s="18"/>
      <x:c r="E31" s="18"/>
      <x:c r="F31" s="18"/>
    </x:row>
    <x:row r="32" ht="26" customHeight="1">
      <x:c r="A32" s="2"/>
      <x:c r="B32" s="2"/>
      <x:c r="C32" s="2"/>
      <x:c r="D32" s="2"/>
      <x:c r="E32" s="2"/>
      <x:c r="F32" s="2"/>
    </x:row>
    <x:row r="33" ht="42" customHeight="1">
      <x:c r="A33" s="8" t="str">
        <x:v>Price definitions and budget rationale</x:v>
      </x:c>
      <x:c r="B33" s="8"/>
      <x:c r="C33" s="8"/>
      <x:c r="D33" s="8"/>
      <x:c r="E33" s="8"/>
      <x:c r="F33" s="8"/>
    </x:row>
    <x:row r="34" ht="26" customHeight="1">
      <x:c r="A34" s="18" t="str">
        <x:v>Confirmed price = an advertised price checked on 17 Sep 2026, before tax and freight. It does not mean a binding quote, reserved inventory, approved substitution or an engineered installation.</x:v>
      </x:c>
      <x:c r="B34" s="18"/>
      <x:c r="C34" s="18"/>
      <x:c r="D34" s="18"/>
      <x:c r="E34" s="18"/>
      <x:c r="F34" s="18"/>
    </x:row>
    <x:row r="35" ht="26" customHeight="1">
      <x:c r="A35" s="18"/>
      <x:c r="B35" s="18"/>
      <x:c r="C35" s="18"/>
      <x:c r="D35" s="18"/>
      <x:c r="E35" s="18"/>
      <x:c r="F35" s="18"/>
    </x:row>
    <x:row r="36" ht="26" customHeight="1">
      <x:c r="A36" s="18" t="str">
        <x:v>Estimate = a used-equipment purchasing target, inherited fabrication allowance, mixed-price kit, freight/fee allowance or engineering provision. Every estimate has a numeric cost and stated basis in Sources and Funding.</x:v>
      </x:c>
      <x:c r="B36" s="18"/>
      <x:c r="C36" s="18"/>
      <x:c r="D36" s="18"/>
      <x:c r="E36" s="18"/>
      <x:c r="F36" s="18"/>
    </x:row>
    <x:row r="37" ht="26" customHeight="1">
      <x:c r="A37" s="18"/>
      <x:c r="B37" s="18"/>
      <x:c r="C37" s="18"/>
      <x:c r="D37" s="18"/>
      <x:c r="E37" s="18"/>
      <x:c r="F37" s="18"/>
    </x:row>
    <x:row r="38" ht="26" customHeight="1">
      <x:c r="A38" s="18" t="str">
        <x:v>Used procurement targets: $3,500 for an enclosed trailer and $120 per matched 445–450 W panel. A new Trina fallback is $169.99 per panel before freight: $399.92 more for eight, plus tax and contingency. A suitable local used trailer has not been verified.</x:v>
      </x:c>
      <x:c r="B38" s="18"/>
      <x:c r="C38" s="18"/>
      <x:c r="D38" s="18"/>
      <x:c r="E38" s="18"/>
      <x:c r="F38" s="18"/>
    </x:row>
    <x:row r="39" ht="26" customHeight="1">
      <x:c r="A39" s="18"/>
      <x:c r="B39" s="18"/>
      <x:c r="C39" s="18"/>
      <x:c r="D39" s="18"/>
      <x:c r="E39" s="18"/>
      <x:c r="F39" s="18"/>
    </x:row>
    <x:row r="40" ht="26" customHeight="1">
      <x:c r="A40" s="18" t="str">
        <x:v>User cash first covers fees, specialist review, tax and contingency, then the trailer and hardware. The proposed grant covers remaining equipment and delivery. Optional extras are excluded; no award is assumed.</x:v>
      </x:c>
      <x:c r="B40" s="18"/>
      <x:c r="C40" s="18"/>
      <x:c r="D40" s="18"/>
      <x:c r="E40" s="18"/>
      <x:c r="F40" s="18"/>
    </x:row>
    <x:row r="41" ht="26" customHeight="1">
      <x:c r="A41" s="18"/>
      <x:c r="B41" s="18"/>
      <x:c r="C41" s="18"/>
      <x:c r="D41" s="18"/>
      <x:c r="E41" s="18"/>
      <x:c r="F41" s="18"/>
    </x:row>
    <x:row r="42" ht="26" customHeight="1">
      <x:c r="A42" s="18" t="str">
        <x:v>The Green Regionals Grant maximum is $10,000; awards are not guaranteed. Its published exclusions include salaries, tips and personal compensation. The calculated grant amount is a proposal for owner review, not a submitted application or confirmed award.</x:v>
      </x:c>
      <x:c r="B42" s="18"/>
      <x:c r="C42" s="18"/>
      <x:c r="D42" s="18"/>
      <x:c r="E42" s="18"/>
      <x:c r="F42" s="18"/>
    </x:row>
    <x:row r="43" ht="26" customHeight="1">
      <x:c r="A43" s="18"/>
      <x:c r="B43" s="18"/>
      <x:c r="C43" s="18"/>
      <x:c r="D43" s="18"/>
      <x:c r="E43" s="18"/>
      <x:c r="F43" s="18"/>
    </x:row>
    <x:row r="44" ht="26" customHeight="1">
      <x:c r="A44" s="18" t="str">
        <x:v>Grant rules: https://burningman.org/arts-innovation/sustainability/green-regionals-grant/  •  Corona tax reference: https://cdtfa.ca.gov/taxes-and-fees/rates.aspx</x:v>
      </x:c>
      <x:c r="B44" s="18"/>
      <x:c r="C44" s="18"/>
      <x:c r="D44" s="18"/>
      <x:c r="E44" s="18"/>
      <x:c r="F44" s="18"/>
    </x:row>
    <x:row r="45" ht="26" customHeight="1">
      <x:c r="A45" s="18"/>
      <x:c r="B45" s="18"/>
      <x:c r="C45" s="18"/>
      <x:c r="D45" s="18"/>
      <x:c r="E45" s="18"/>
      <x:c r="F45" s="18"/>
    </x:row>
    <x:row r="46" ht="26" customHeight="1">
      <x:c r="A46" s="18" t="str">
        <x:v>DC-02 revision: Victron inverter, second MPPT, configuration kit and distinct bank/branch/junction allowances replace the Renogy option. Known circuit functions are priced separately; contingency covers remaining uncertainty. Funding gap is shown above.</x:v>
      </x:c>
      <x:c r="B46" s="18"/>
      <x:c r="C46" s="18"/>
      <x:c r="D46" s="18"/>
      <x:c r="E46" s="18"/>
      <x:c r="F46" s="18"/>
    </x:row>
    <x:row r="47" ht="26" customHeight="1">
      <x:c r="A47" s="18"/>
      <x:c r="B47" s="18"/>
      <x:c r="C47" s="18"/>
      <x:c r="D47" s="18"/>
      <x:c r="E47" s="18"/>
      <x:c r="F47" s="18"/>
    </x:row>
    <x:row r="48" ht="26" customHeight="1">
      <x:c r="A48" s="18" t="str">
        <x:v>BEquinox 2027 remains a prospective demonstration, subject to confirmed dates and organizer approval. This budget does not establish a host partnership, completed prototype, final engineering or tested performance.</x:v>
      </x:c>
      <x:c r="B48" s="18"/>
      <x:c r="C48" s="18"/>
      <x:c r="D48" s="18"/>
      <x:c r="E48" s="18"/>
      <x:c r="F48" s="18"/>
    </x:row>
    <x:row r="49" ht="26" customHeight="1">
      <x:c r="A49" s="18"/>
      <x:c r="B49" s="18"/>
      <x:c r="C49" s="18"/>
      <x:c r="D49" s="18"/>
      <x:c r="E49" s="18"/>
      <x:c r="F49" s="18"/>
    </x:row>
    <x:row r="50" ht="26" customHeight="1">
      <x:c r="A50" s="2"/>
      <x:c r="B50" s="2"/>
      <x:c r="C50" s="2"/>
      <x:c r="D50" s="2"/>
      <x:c r="E50" s="2"/>
      <x:c r="F50" s="2"/>
    </x:row>
    <x:row r="51" ht="26" customHeight="1">
      <x:c r="A51" s="2"/>
      <x:c r="B51" s="2"/>
      <x:c r="C51" s="2"/>
      <x:c r="D51" s="2"/>
      <x:c r="E51" s="2"/>
      <x:c r="F51" s="2"/>
    </x:row>
    <x:row r="52" ht="26" customHeight="1">
      <x:c r="A52" s="2"/>
      <x:c r="B52" s="2"/>
      <x:c r="C52" s="2"/>
      <x:c r="D52" s="2"/>
      <x:c r="E52" s="2"/>
      <x:c r="F52" s="2"/>
    </x:row>
    <x:row r="53" ht="26" customHeight="1">
      <x:c r="A53" s="2"/>
      <x:c r="B53" s="2"/>
      <x:c r="C53" s="2"/>
      <x:c r="D53" s="2"/>
      <x:c r="E53" s="2"/>
      <x:c r="F53" s="2"/>
    </x:row>
    <x:row r="54" ht="26" customHeight="1">
      <x:c r="A54" s="2"/>
      <x:c r="B54" s="2"/>
      <x:c r="C54" s="2"/>
      <x:c r="D54" s="2"/>
      <x:c r="E54" s="2"/>
      <x:c r="F54" s="2"/>
    </x:row>
  </x:sheetData>
  <x:mergeCells>
    <x:mergeCell ref="A2:F2"/>
    <x:mergeCell ref="A3:F3"/>
    <x:mergeCell ref="D5:F5"/>
    <x:mergeCell ref="D6:F7"/>
    <x:mergeCell ref="D8:F9"/>
    <x:mergeCell ref="D10:F11"/>
    <x:mergeCell ref="D12:F13"/>
    <x:mergeCell ref="D14:F15"/>
    <x:mergeCell ref="D16:F17"/>
    <x:mergeCell ref="D18:F19"/>
    <x:mergeCell ref="D23:F23"/>
    <x:mergeCell ref="D24:F25"/>
    <x:mergeCell ref="D26:F27"/>
    <x:mergeCell ref="D28:F29"/>
    <x:mergeCell ref="D30:F31"/>
    <x:mergeCell ref="A33:F33"/>
    <x:mergeCell ref="A34:F35"/>
    <x:mergeCell ref="A36:F37"/>
    <x:mergeCell ref="A38:F39"/>
    <x:mergeCell ref="A40:F41"/>
    <x:mergeCell ref="A42:F43"/>
    <x:mergeCell ref="A44:F45"/>
    <x:mergeCell ref="A46:F47"/>
    <x:mergeCell ref="A48:F4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7F80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4.380001068115234" hidden="0" customWidth="1"/>
    <x:col min="2" max="2" width="7.5" hidden="0" customWidth="1"/>
    <x:col min="3" max="3" width="59.380001068115234" hidden="0" customWidth="1"/>
    <x:col min="4" max="4" width="21.8799991607666" hidden="0" customWidth="1"/>
    <x:col min="5" max="5" width="14" hidden="0" customWidth="1"/>
    <x:col min="6" max="6" width="15.25" hidden="0" customWidth="1"/>
    <x:col min="7" max="7" width="19.3799991607666" hidden="0" customWidth="1"/>
    <x:col min="8" max="8" width="20.6299991607666" hidden="0" customWidth="1"/>
    <x:col min="9" max="9" width="24.3799991607666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6" customHeight="1">
      <x:c r="A2" s="3" t="str">
        <x:v>Open Solar Trailer | v06 Priced Grant BOM</x:v>
      </x:c>
      <x:c r="B2" s="2"/>
      <x:c r="C2" s="2"/>
      <x:c r="D2" s="2"/>
      <x:c r="E2" s="2"/>
      <x:c r="F2" s="2"/>
      <x:c r="G2" s="2"/>
      <x:c r="H2" s="2"/>
      <x:c r="I2" s="2"/>
    </x:row>
    <x:row r="3" ht="40" customHeight="1">
      <x:c r="A3" s="5" t="str">
        <x:v>All lines priced in USD • Estimates remain explicit • Grant-funded is proposed funding • Detailed price sources and split allocations are in Sources and Funding.</x:v>
      </x:c>
      <x:c r="B3" s="2"/>
      <x:c r="C3" s="2"/>
      <x:c r="D3" s="2"/>
      <x:c r="E3" s="2"/>
      <x:c r="F3" s="2"/>
      <x:c r="G3" s="2"/>
      <x:c r="H3" s="2"/>
      <x:c r="I3" s="2"/>
    </x:row>
    <x:row r="4" ht="40" customHeight="1">
      <x:c r="A4" s="5" t="str">
        <x:v>Quantities are each unless the specification states a spool, linear foot, kit or lot. Required totals include tax, delivery, fees, review and contingency; optional extras are excluded.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2" customHeight="1">
      <x:c r="A7" s="8" t="str">
        <x:v>Item</x:v>
      </x:c>
      <x:c r="B7" s="8" t="str">
        <x:v>Qty</x:v>
      </x:c>
      <x:c r="C7" s="8" t="str">
        <x:v>Exact model/spec</x:v>
      </x:c>
      <x:c r="D7" s="8" t="str">
        <x:v>Vendor</x:v>
      </x:c>
      <x:c r="E7" s="8" t="str">
        <x:v>Unit price</x:v>
      </x:c>
      <x:c r="F7" s="8" t="str">
        <x:v>Subtotal</x:v>
      </x:c>
      <x:c r="G7" s="8" t="str">
        <x:v>Required/Optional</x:v>
      </x:c>
      <x:c r="H7" s="8" t="str">
        <x:v>Confirmed price/Estimate</x:v>
      </x:c>
      <x:c r="I7" s="8" t="str">
        <x:v>Grant-funded/User-funded</x:v>
      </x:c>
    </x:row>
    <x:row r="8" ht="90" customHeight="1">
      <x:c r="A8" s="23" t="str">
        <x:v>B01 · Used enclosed cargo trailer</x:v>
      </x:c>
      <x:c r="B8" s="29" t="n">
        <x:v>1</x:v>
      </x:c>
      <x:c r="C8" s="30" t="str">
        <x:v>Used 7 × 16 ft enclosed tandem axle, 7,000 lb GVWR target; rear ramp and brakes. Exact make/model and VIN require inspection. [Unit: ea]</x:v>
      </x:c>
      <x:c r="D8" s="30" t="str">
        <x:v>Local private seller — not selected</x:v>
      </x:c>
      <x:c r="E8" s="31" t="n">
        <x:v>3500</x:v>
      </x:c>
      <x:c r="F8" s="35" t="n">
        <x:f>IF(AND(ISNUMBER(B8),ISNUMBER(E8)),ROUND(B8*E8,2),"Pending")</x:f>
        <x:v>3500</x:v>
      </x:c>
      <x:c r="G8" s="39" t="str">
        <x:v>Required</x:v>
      </x:c>
      <x:c r="H8" s="39" t="str">
        <x:v>Estimate</x:v>
      </x:c>
      <x:c r="I8" s="39" t="str">
        <x:f>IF(G8="Optional","Deferred — unfunded",IF(F8=0,"User-funded (donated)",IF(AND('Sources and Funding'!E12&gt;0,'Sources and Funding'!F12&gt;0),"Split user / grant",IF(AND('Sources and Funding'!G12&gt;0,OR('Sources and Funding'!E12&gt;0,'Sources and Funding'!F12&gt;0)),"Part funded; see Sources",IF('Sources and Funding'!E12&gt;0,"User-funded",IF('Sources and Funding'!F12&gt;0,"Grant-funded","Funding needed"))))))</x:f>
        <x:v>Split user / grant</x:v>
      </x:c>
    </x:row>
    <x:row r="9" ht="90" customHeight="1">
      <x:c r="A9" s="24" t="str">
        <x:v>B02 · Used / surplus matched solar modules</x:v>
      </x:c>
      <x:c r="B9" s="32" t="n">
        <x:v>8</x:v>
      </x:c>
      <x:c r="C9" s="33" t="str">
        <x:v>8 matched 445–450 W modules; 4 roof + 2 per side. Trina TSM-445NEG9RC.27 is the dimensional/electrical reference; used model not secured. [Unit: ea]</x:v>
      </x:c>
      <x:c r="D9" s="33" t="str">
        <x:v>Local reuse / surplus seller — not selected</x:v>
      </x:c>
      <x:c r="E9" s="34" t="n">
        <x:v>120</x:v>
      </x:c>
      <x:c r="F9" s="36" t="n">
        <x:f>IF(AND(ISNUMBER(B9),ISNUMBER(E9)),ROUND(B9*E9,2),"Pending")</x:f>
        <x:v>960</x:v>
      </x:c>
      <x:c r="G9" s="40" t="str">
        <x:v>Required</x:v>
      </x:c>
      <x:c r="H9" s="40" t="str">
        <x:v>Estimate</x:v>
      </x:c>
      <x:c r="I9" s="40" t="str">
        <x:f>IF(G9="Optional","Deferred — unfunded",IF(F9=0,"User-funded (donated)",IF(AND('Sources and Funding'!E13&gt;0,'Sources and Funding'!F13&gt;0),"Split user / grant",IF(AND('Sources and Funding'!G13&gt;0,OR('Sources and Funding'!E13&gt;0,'Sources and Funding'!F13&gt;0)),"Part funded; see Sources",IF('Sources and Funding'!E13&gt;0,"User-funded",IF('Sources and Funding'!F13&gt;0,"Grant-funded","Funding needed"))))))</x:f>
        <x:v>Grant-funded</x:v>
      </x:c>
    </x:row>
    <x:row r="10" ht="90" customHeight="1">
      <x:c r="A10" s="23" t="str">
        <x:v>B03 · Inverter / charger</x:v>
      </x:c>
      <x:c r="B10" s="29" t="n">
        <x:v>1</x:v>
      </x:c>
      <x:c r="C10" s="30" t="str">
        <x:v>Victron MultiPlus-II 48/5000/70-95, 120 V; PMP482505110. 5,000 VA class; output rating and thermal derating per manual. [Unit: ea]</x:v>
      </x:c>
      <x:c r="D10" s="30" t="str">
        <x:v>Vanlife Outfitters</x:v>
      </x:c>
      <x:c r="E10" s="31" t="n">
        <x:v>1458.6</x:v>
      </x:c>
      <x:c r="F10" s="35" t="n">
        <x:f>IF(AND(ISNUMBER(B10),ISNUMBER(E10)),ROUND(B10*E10,2),"Pending")</x:f>
        <x:v>1458.6</x:v>
      </x:c>
      <x:c r="G10" s="39" t="str">
        <x:v>Required</x:v>
      </x:c>
      <x:c r="H10" s="39" t="str">
        <x:v>Confirmed price</x:v>
      </x:c>
      <x:c r="I10" s="39" t="str">
        <x:f>IF(G10="Optional","Deferred — unfunded",IF(F10=0,"User-funded (donated)",IF(AND('Sources and Funding'!E14&gt;0,'Sources and Funding'!F14&gt;0),"Split user / grant",IF(AND('Sources and Funding'!G14&gt;0,OR('Sources and Funding'!E14&gt;0,'Sources and Funding'!F14&gt;0)),"Part funded; see Sources",IF('Sources and Funding'!E14&gt;0,"User-funded",IF('Sources and Funding'!F14&gt;0,"Grant-funded","Funding needed"))))))</x:f>
        <x:v>Grant-funded</x:v>
      </x:c>
    </x:row>
    <x:row r="11" ht="90" customHeight="1">
      <x:c r="A11" s="24" t="str">
        <x:v>B04 · Roof and shared wing MPPTs</x:v>
      </x:c>
      <x:c r="B11" s="32" t="n">
        <x:v>2</x:v>
      </x:c>
      <x:c r="C11" s="33" t="str">
        <x:v>Victron SmartSolar 150/35 SCC115035210; 1 roof MPPT + 1 shared wing MPPT. Two 2-panel wing strings in parallel. [Unit: ea]</x:v>
      </x:c>
      <x:c r="D11" s="33" t="str">
        <x:v>The Solar Store</x:v>
      </x:c>
      <x:c r="E11" s="34" t="n">
        <x:v>164.99</x:v>
      </x:c>
      <x:c r="F11" s="36" t="n">
        <x:f>IF(AND(ISNUMBER(B11),ISNUMBER(E11)),ROUND(B11*E11,2),"Pending")</x:f>
        <x:v>329.98</x:v>
      </x:c>
      <x:c r="G11" s="40" t="str">
        <x:v>Required</x:v>
      </x:c>
      <x:c r="H11" s="40" t="str">
        <x:v>Confirmed price</x:v>
      </x:c>
      <x:c r="I11" s="40" t="str">
        <x:f>IF(G11="Optional","Deferred — unfunded",IF(F11=0,"User-funded (donated)",IF(AND('Sources and Funding'!E15&gt;0,'Sources and Funding'!F15&gt;0),"Split user / grant",IF(AND('Sources and Funding'!G15&gt;0,OR('Sources and Funding'!E15&gt;0,'Sources and Funding'!F15&gt;0)),"Part funded; see Sources",IF('Sources and Funding'!E15&gt;0,"User-funded",IF('Sources and Funding'!F15&gt;0,"Grant-funded","Funding needed"))))))</x:f>
        <x:v>Grant-funded</x:v>
      </x:c>
    </x:row>
    <x:row r="12" ht="90" customHeight="1">
      <x:c r="A12" s="23" t="str">
        <x:v>B05 · 51.2 V 100 Ah LiFePO4 rack battery</x:v>
      </x:c>
      <x:c r="B12" s="29" t="n">
        <x:v>2</x:v>
      </x:c>
      <x:c r="C12" s="30" t="str">
        <x:v>Eco-Worthy 51.2 V 100 Ah server-rack battery, SKU L13SR48100B-1, V2 price reference; 5.12 kWh each, 10.24 kWh nominal bank. [Unit: ea]</x:v>
      </x:c>
      <x:c r="D12" s="30" t="str">
        <x:v>ShopSolar</x:v>
      </x:c>
      <x:c r="E12" s="31" t="n">
        <x:v>889</x:v>
      </x:c>
      <x:c r="F12" s="35" t="n">
        <x:f>IF(AND(ISNUMBER(B12),ISNUMBER(E12)),ROUND(B12*E12,2),"Pending")</x:f>
        <x:v>1778</x:v>
      </x:c>
      <x:c r="G12" s="39" t="str">
        <x:v>Required</x:v>
      </x:c>
      <x:c r="H12" s="39" t="str">
        <x:v>Confirmed price</x:v>
      </x:c>
      <x:c r="I12" s="39" t="str">
        <x:f>IF(G12="Optional","Deferred — unfunded",IF(F12=0,"User-funded (donated)",IF(AND('Sources and Funding'!E16&gt;0,'Sources and Funding'!F16&gt;0),"Split user / grant",IF(AND('Sources and Funding'!G16&gt;0,OR('Sources and Funding'!E16&gt;0,'Sources and Funding'!F16&gt;0)),"Part funded; see Sources",IF('Sources and Funding'!E16&gt;0,"User-funded",IF('Sources and Funding'!F16&gt;0,"Grant-funded","Funding needed"))))))</x:f>
        <x:v>Grant-funded</x:v>
      </x:c>
    </x:row>
    <x:row r="13" ht="90" customHeight="1">
      <x:c r="A13" s="24" t="str">
        <x:v>B06 · Roof PV-rated disconnect</x:v>
      </x:c>
      <x:c r="B13" s="32" t="n">
        <x:v>1</x:v>
      </x:c>
      <x:c r="C13" s="33" t="str">
        <x:v>Roof array 2-pole DC isolator in protected enclosure, 40–50 A class planning reference, minimum 150 V DC. Final rating per selected modules and design factors. [Unit: ea]</x:v>
      </x:c>
      <x:c r="D13" s="33" t="str">
        <x:v>DC switchgear supplier</x:v>
      </x:c>
      <x:c r="E13" s="34" t="n">
        <x:v>90</x:v>
      </x:c>
      <x:c r="F13" s="36" t="n">
        <x:f>IF(AND(ISNUMBER(B13),ISNUMBER(E13)),ROUND(B13*E13,2),"Pending")</x:f>
        <x:v>90</x:v>
      </x:c>
      <x:c r="G13" s="40" t="str">
        <x:v>Required</x:v>
      </x:c>
      <x:c r="H13" s="40" t="str">
        <x:v>Estimate</x:v>
      </x:c>
      <x:c r="I13" s="40" t="str">
        <x:f>IF(G13="Optional","Deferred — unfunded",IF(F13=0,"User-funded (donated)",IF(AND('Sources and Funding'!E17&gt;0,'Sources and Funding'!F17&gt;0),"Split user / grant",IF(AND('Sources and Funding'!G17&gt;0,OR('Sources and Funding'!E17&gt;0,'Sources and Funding'!F17&gt;0)),"Part funded; see Sources",IF('Sources and Funding'!E17&gt;0,"User-funded",IF('Sources and Funding'!F17&gt;0,"Grant-funded","Funding needed"))))))</x:f>
        <x:v>Grant-funded</x:v>
      </x:c>
    </x:row>
    <x:row r="14" ht="90" customHeight="1">
      <x:c r="A14" s="23" t="str">
        <x:v>B07 · Wing branch PV-rated disconnect</x:v>
      </x:c>
      <x:c r="B14" s="29" t="n">
        <x:v>2</x:v>
      </x:c>
      <x:c r="C14" s="30" t="str">
        <x:v>IMO SI32-PEL64R-4 enclosed DC PV isolator, 32 A / 600 V DC reference, one per side. Final pole configuration/current review required. [Unit: ea]</x:v>
      </x:c>
      <x:c r="D14" s="30" t="str">
        <x:v>EcoDirect</x:v>
      </x:c>
      <x:c r="E14" s="31" t="n">
        <x:v>89</x:v>
      </x:c>
      <x:c r="F14" s="35" t="n">
        <x:f>IF(AND(ISNUMBER(B14),ISNUMBER(E14)),ROUND(B14*E14,2),"Pending")</x:f>
        <x:v>178</x:v>
      </x:c>
      <x:c r="G14" s="39" t="str">
        <x:v>Required</x:v>
      </x:c>
      <x:c r="H14" s="39" t="str">
        <x:v>Confirmed price</x:v>
      </x:c>
      <x:c r="I14" s="39" t="str">
        <x:f>IF(G14="Optional","Deferred — unfunded",IF(F14=0,"User-funded (donated)",IF(AND('Sources and Funding'!E18&gt;0,'Sources and Funding'!F18&gt;0),"Split user / grant",IF(AND('Sources and Funding'!G18&gt;0,OR('Sources and Funding'!E18&gt;0,'Sources and Funding'!F18&gt;0)),"Part funded; see Sources",IF('Sources and Funding'!E18&gt;0,"User-funded",IF('Sources and Funding'!F18&gt;0,"Grant-funded","Funding needed"))))))</x:f>
        <x:v>Grant-funded</x:v>
      </x:c>
    </x:row>
    <x:row r="15" ht="90" customHeight="1">
      <x:c r="A15" s="24" t="str">
        <x:v>B08 · Roof and wing combiner enclosures</x:v>
      </x:c>
      <x:c r="B15" s="32" t="n">
        <x:v>2</x:v>
      </x:c>
      <x:c r="C15" s="33" t="str">
        <x:v>MidNite MNPV3, 1 per array; roof 2S2P and wings 2S2P. Enclosure/busbars only; branch protection separately budgeted. [Unit: ea]</x:v>
      </x:c>
      <x:c r="D15" s="33" t="str">
        <x:v>NAZ Solar Electric</x:v>
      </x:c>
      <x:c r="E15" s="34" t="n">
        <x:v>93.78</x:v>
      </x:c>
      <x:c r="F15" s="36" t="n">
        <x:f>IF(AND(ISNUMBER(B15),ISNUMBER(E15)),ROUND(B15*E15,2),"Pending")</x:f>
        <x:v>187.56</x:v>
      </x:c>
      <x:c r="G15" s="40" t="str">
        <x:v>Required</x:v>
      </x:c>
      <x:c r="H15" s="40" t="str">
        <x:v>Confirmed price</x:v>
      </x:c>
      <x:c r="I15" s="40" t="str">
        <x:f>IF(G15="Optional","Deferred — unfunded",IF(F15=0,"User-funded (donated)",IF(AND('Sources and Funding'!E19&gt;0,'Sources and Funding'!F19&gt;0),"Split user / grant",IF(AND('Sources and Funding'!G19&gt;0,OR('Sources and Funding'!E19&gt;0,'Sources and Funding'!F19&gt;0)),"Part funded; see Sources",IF('Sources and Funding'!E19&gt;0,"User-funded",IF('Sources and Funding'!F19&gt;0,"Grant-funded","Funding needed"))))))</x:f>
        <x:v>Grant-funded</x:v>
      </x:c>
    </x:row>
    <x:row r="16" ht="90" customHeight="1">
      <x:c r="A16" s="23" t="str">
        <x:v>B09 · 10 AWG PV wire</x:v>
      </x:c>
      <x:c r="B16" s="29" t="n">
        <x:v>2</x:v>
      </x:c>
      <x:c r="C16" s="30" t="str">
        <x:v>TEMCo SW0004 black + SW0018 red, 10 AWG UL 4703 PV wire; one 100 ft spool of each. 200 conductor-ft total. [Unit: 100 ft spool]</x:v>
      </x:c>
      <x:c r="D16" s="30" t="str">
        <x:v>TEMCo Industrial</x:v>
      </x:c>
      <x:c r="E16" s="31" t="n">
        <x:v>64.76</x:v>
      </x:c>
      <x:c r="F16" s="35" t="n">
        <x:f>IF(AND(ISNUMBER(B16),ISNUMBER(E16)),ROUND(B16*E16,2),"Pending")</x:f>
        <x:v>129.52</x:v>
      </x:c>
      <x:c r="G16" s="39" t="str">
        <x:v>Required</x:v>
      </x:c>
      <x:c r="H16" s="39" t="str">
        <x:v>Confirmed price</x:v>
      </x:c>
      <x:c r="I16" s="39" t="str">
        <x:f>IF(G16="Optional","Deferred — unfunded",IF(F16=0,"User-funded (donated)",IF(AND('Sources and Funding'!E20&gt;0,'Sources and Funding'!F20&gt;0),"Split user / grant",IF(AND('Sources and Funding'!G20&gt;0,OR('Sources and Funding'!E20&gt;0,'Sources and Funding'!F20&gt;0)),"Part funded; see Sources",IF('Sources and Funding'!E20&gt;0,"User-funded",IF('Sources and Funding'!F20&gt;0,"Grant-funded","Funding needed"))))))</x:f>
        <x:v>Grant-funded</x:v>
      </x:c>
    </x:row>
    <x:row r="17" ht="90" customHeight="1">
      <x:c r="A17" s="24" t="str">
        <x:v>B10 · MC4 connectors, branch connectors, glands, loom</x:v>
      </x:c>
      <x:c r="B17" s="32" t="n">
        <x:v>1</x:v>
      </x:c>
      <x:c r="C17" s="33" t="str">
        <x:v>1 lot: 10 matched PV connector pairs, 4 gland entries, UV loom, strain relief and service loops; no mixed-brand connector mating. [Unit: lot]</x:v>
      </x:c>
      <x:c r="D17" s="33" t="str">
        <x:v>TEMCo / electrical supplier (estimate)</x:v>
      </x:c>
      <x:c r="E17" s="34" t="n">
        <x:v>120</x:v>
      </x:c>
      <x:c r="F17" s="36" t="n">
        <x:f>IF(AND(ISNUMBER(B17),ISNUMBER(E17)),ROUND(B17*E17,2),"Pending")</x:f>
        <x:v>120</x:v>
      </x:c>
      <x:c r="G17" s="40" t="str">
        <x:v>Required</x:v>
      </x:c>
      <x:c r="H17" s="40" t="str">
        <x:v>Estimate</x:v>
      </x:c>
      <x:c r="I17" s="40" t="str">
        <x:f>IF(G17="Optional","Deferred — unfunded",IF(F17=0,"User-funded (donated)",IF(AND('Sources and Funding'!E21&gt;0,'Sources and Funding'!F21&gt;0),"Split user / grant",IF(AND('Sources and Funding'!G21&gt;0,OR('Sources and Funding'!E21&gt;0,'Sources and Funding'!F21&gt;0)),"Part funded; see Sources",IF('Sources and Funding'!E21&gt;0,"User-funded",IF('Sources and Funding'!F21&gt;0,"Grant-funded","Funding needed"))))))</x:f>
        <x:v>Grant-funded</x:v>
      </x:c>
    </x:row>
    <x:row r="18" ht="90" customHeight="1">
      <x:c r="A18" s="23" t="str">
        <x:v>B11 · MPPT output DC breaker / fuse</x:v>
      </x:c>
      <x:c r="B18" s="29" t="n">
        <x:v>2</x:v>
      </x:c>
      <x:c r="C18" s="30" t="str">
        <x:v>MidNite MNEPV40-150-1PNP, 40 A, 150 V DC non-polarized breaker, one per MPPT battery feed. [Unit: ea]</x:v>
      </x:c>
      <x:c r="D18" s="30" t="str">
        <x:v>Solamp</x:v>
      </x:c>
      <x:c r="E18" s="31" t="n">
        <x:v>26</x:v>
      </x:c>
      <x:c r="F18" s="35" t="n">
        <x:f>IF(AND(ISNUMBER(B18),ISNUMBER(E18)),ROUND(B18*E18,2),"Pending")</x:f>
        <x:v>52</x:v>
      </x:c>
      <x:c r="G18" s="39" t="str">
        <x:v>Required</x:v>
      </x:c>
      <x:c r="H18" s="39" t="str">
        <x:v>Confirmed price</x:v>
      </x:c>
      <x:c r="I18" s="39" t="str">
        <x:f>IF(G18="Optional","Deferred — unfunded",IF(F18=0,"User-funded (donated)",IF(AND('Sources and Funding'!E22&gt;0,'Sources and Funding'!F22&gt;0),"Split user / grant",IF(AND('Sources and Funding'!G22&gt;0,OR('Sources and Funding'!E22&gt;0,'Sources and Funding'!F22&gt;0)),"Part funded; see Sources",IF('Sources and Funding'!E22&gt;0,"User-funded",IF('Sources and Funding'!F22&gt;0,"Grant-funded","Funding needed"))))))</x:f>
        <x:v>Grant-funded</x:v>
      </x:c>
    </x:row>
    <x:row r="19" ht="90" customHeight="1">
      <x:c r="A19" s="24" t="str">
        <x:v>B12 · Class-T battery fuse + holder</x:v>
      </x:c>
      <x:c r="B19" s="32" t="n">
        <x:v>2</x:v>
      </x:c>
      <x:c r="C19" s="33" t="str">
        <x:v>Per battery: Blue Sea 5113 125 A Class-T fuse ($49.51) + 5007100 110–200 A covered holder ($72.31); manufacturer fuse rating 125 V DC. [Unit: ea]</x:v>
      </x:c>
      <x:c r="D19" s="33" t="str">
        <x:v>ElectricalHub + iMarine USA</x:v>
      </x:c>
      <x:c r="E19" s="34" t="n">
        <x:v>121.82</x:v>
      </x:c>
      <x:c r="F19" s="36" t="n">
        <x:f>IF(AND(ISNUMBER(B19),ISNUMBER(E19)),ROUND(B19*E19,2),"Pending")</x:f>
        <x:v>243.64</x:v>
      </x:c>
      <x:c r="G19" s="40" t="str">
        <x:v>Required</x:v>
      </x:c>
      <x:c r="H19" s="40" t="str">
        <x:v>Confirmed price</x:v>
      </x:c>
      <x:c r="I19" s="40" t="str">
        <x:f>IF(G19="Optional","Deferred — unfunded",IF(F19=0,"User-funded (donated)",IF(AND('Sources and Funding'!E23&gt;0,'Sources and Funding'!F23&gt;0),"Split user / grant",IF(AND('Sources and Funding'!G23&gt;0,OR('Sources and Funding'!E23&gt;0,'Sources and Funding'!F23&gt;0)),"Part funded; see Sources",IF('Sources and Funding'!E23&gt;0,"User-funded",IF('Sources and Funding'!F23&gt;0,"Grant-funded","Funding needed"))))))</x:f>
        <x:v>Grant-funded</x:v>
      </x:c>
    </x:row>
    <x:row r="20" ht="90" customHeight="1">
      <x:c r="A20" s="23" t="str">
        <x:v>B13 · Positive / negative covered busbars</x:v>
      </x:c>
      <x:c r="B20" s="29" t="n">
        <x:v>2</x:v>
      </x:c>
      <x:c r="C20" s="30" t="str">
        <x:v>Victron VBB125060020 250 A 6-position covered busbar; quantity 2 provides P1 system positive and N1 system negative. Separate battery junction provision in B59. [Unit: ea]</x:v>
      </x:c>
      <x:c r="D20" s="30" t="str">
        <x:v>Inverters R Us</x:v>
      </x:c>
      <x:c r="E20" s="31" t="n">
        <x:v>68</x:v>
      </x:c>
      <x:c r="F20" s="35" t="n">
        <x:f>IF(AND(ISNUMBER(B20),ISNUMBER(E20)),ROUND(B20*E20,2),"Pending")</x:f>
        <x:v>136</x:v>
      </x:c>
      <x:c r="G20" s="39" t="str">
        <x:v>Required</x:v>
      </x:c>
      <x:c r="H20" s="39" t="str">
        <x:v>Confirmed price</x:v>
      </x:c>
      <x:c r="I20" s="39" t="str">
        <x:f>IF(G20="Optional","Deferred — unfunded",IF(F20=0,"User-funded (donated)",IF(AND('Sources and Funding'!E24&gt;0,'Sources and Funding'!F24&gt;0),"Split user / grant",IF(AND('Sources and Funding'!G24&gt;0,OR('Sources and Funding'!E24&gt;0,'Sources and Funding'!F24&gt;0)),"Part funded; see Sources",IF('Sources and Funding'!E24&gt;0,"User-funded",IF('Sources and Funding'!F24&gt;0,"Grant-funded","Funding needed"))))))</x:f>
        <x:v>Grant-funded</x:v>
      </x:c>
    </x:row>
    <x:row r="21" ht="90" customHeight="1">
      <x:c r="A21" s="24" t="str">
        <x:v>B14 · Inverter branch protection and DC enclosures</x:v>
      </x:c>
      <x:c r="B21" s="32" t="n">
        <x:v>1</x:v>
      </x:c>
      <x:c r="C21" s="33" t="str">
        <x:v>1 protected, isolatable inverter branch at P1: 200 A fuse reference per MultiPlus-II 48/5000 manual, appropriately rated disconnect and covered holder/enclosures. Exact devices TBD. [Unit: ea]</x:v>
      </x:c>
      <x:c r="D21" s="33" t="str">
        <x:v>DC switchgear supplier — selection pending</x:v>
      </x:c>
      <x:c r="E21" s="34" t="n">
        <x:v>250</x:v>
      </x:c>
      <x:c r="F21" s="36" t="n">
        <x:f>IF(AND(ISNUMBER(B21),ISNUMBER(E21)),ROUND(B21*E21,2),"Pending")</x:f>
        <x:v>250</x:v>
      </x:c>
      <x:c r="G21" s="40" t="str">
        <x:v>Required</x:v>
      </x:c>
      <x:c r="H21" s="40" t="str">
        <x:v>Estimate</x:v>
      </x:c>
      <x:c r="I21" s="40" t="str">
        <x:f>IF(G21="Optional","Deferred — unfunded",IF(F21=0,"User-funded (donated)",IF(AND('Sources and Funding'!E25&gt;0,'Sources and Funding'!F25&gt;0),"Split user / grant",IF(AND('Sources and Funding'!G25&gt;0,OR('Sources and Funding'!E25&gt;0,'Sources and Funding'!F25&gt;0)),"Part funded; see Sources",IF('Sources and Funding'!E25&gt;0,"User-funded",IF('Sources and Funding'!F25&gt;0,"Grant-funded","Funding needed"))))))</x:f>
        <x:v>Grant-funded</x:v>
      </x:c>
    </x:row>
    <x:row r="22" ht="90" customHeight="1">
      <x:c r="A22" s="23" t="str">
        <x:v>B15 · 2/0 copper battery cable, lugs, heat shrink</x:v>
      </x:c>
      <x:c r="B22" s="29" t="n">
        <x:v>1</x:v>
      </x:c>
      <x:c r="C22" s="30" t="str">
        <x:v>1 lot: 20 conductor-ft of 2/0 flexible copper, 16 compatible lugs, adhesive heatshrink and terminal boots. [Unit: lot]</x:v>
      </x:c>
      <x:c r="D22" s="30" t="str">
        <x:v>TEMCo / electrical supplier (estimate)</x:v>
      </x:c>
      <x:c r="E22" s="31" t="n">
        <x:v>300</x:v>
      </x:c>
      <x:c r="F22" s="35" t="n">
        <x:f>IF(AND(ISNUMBER(B22),ISNUMBER(E22)),ROUND(B22*E22,2),"Pending")</x:f>
        <x:v>300</x:v>
      </x:c>
      <x:c r="G22" s="39" t="str">
        <x:v>Required</x:v>
      </x:c>
      <x:c r="H22" s="39" t="str">
        <x:v>Estimate</x:v>
      </x:c>
      <x:c r="I22" s="39" t="str">
        <x:f>IF(G22="Optional","Deferred — unfunded",IF(F22=0,"User-funded (donated)",IF(AND('Sources and Funding'!E26&gt;0,'Sources and Funding'!F26&gt;0),"Split user / grant",IF(AND('Sources and Funding'!G26&gt;0,OR('Sources and Funding'!E26&gt;0,'Sources and Funding'!F26&gt;0)),"Part funded; see Sources",IF('Sources and Funding'!E26&gt;0,"User-funded",IF('Sources and Funding'!F26&gt;0,"Grant-funded","Funding needed"))))))</x:f>
        <x:v>Grant-funded</x:v>
      </x:c>
    </x:row>
    <x:row r="23" ht="90" customHeight="1">
      <x:c r="A23" s="24" t="str">
        <x:v>B16 · Battery rack / transport restraint</x:v>
      </x:c>
      <x:c r="B23" s="32" t="n">
        <x:v>1</x:v>
      </x:c>
      <x:c r="C23" s="33" t="str">
        <x:v>Owner-fabricated two-module rack with structural tie-downs, terminal clearances and insulating covers; $150 materials only. [Unit: lot]</x:v>
      </x:c>
      <x:c r="D23" s="33" t="str">
        <x:v>Local metal / hardware supplier</x:v>
      </x:c>
      <x:c r="E23" s="34" t="n">
        <x:v>150</x:v>
      </x:c>
      <x:c r="F23" s="36" t="n">
        <x:f>IF(AND(ISNUMBER(B23),ISNUMBER(E23)),ROUND(B23*E23,2),"Pending")</x:f>
        <x:v>150</x:v>
      </x:c>
      <x:c r="G23" s="40" t="str">
        <x:v>Required</x:v>
      </x:c>
      <x:c r="H23" s="40" t="str">
        <x:v>Estimate</x:v>
      </x:c>
      <x:c r="I23" s="40" t="str">
        <x:f>IF(G23="Optional","Deferred — unfunded",IF(F23=0,"User-funded (donated)",IF(AND('Sources and Funding'!E27&gt;0,'Sources and Funding'!F27&gt;0),"Split user / grant",IF(AND('Sources and Funding'!G27&gt;0,OR('Sources and Funding'!E27&gt;0,'Sources and Funding'!F27&gt;0)),"Part funded; see Sources",IF('Sources and Funding'!E27&gt;0,"User-funded",IF('Sources and Funding'!F27&gt;0,"Grant-funded","Funding needed"))))))</x:f>
        <x:v>Grant-funded</x:v>
      </x:c>
    </x:row>
    <x:row r="24" ht="90" customHeight="1">
      <x:c r="A24" s="23" t="str">
        <x:v>B17 · 120 V load center</x:v>
      </x:c>
      <x:c r="B24" s="29" t="n">
        <x:v>1</x:v>
      </x:c>
      <x:c r="C24" s="30" t="str">
        <x:v>Progressive Dynamics PD50K3Q2GP, 30 A / 120 V AC distribution panel; enclosure supplied. Leave 12 V DC section unused on 48 V bank. [Unit: ea]</x:v>
      </x:c>
      <x:c r="D24" s="30" t="str">
        <x:v>Holman RV (price reference)</x:v>
      </x:c>
      <x:c r="E24" s="31" t="n">
        <x:v>126.5</x:v>
      </x:c>
      <x:c r="F24" s="35" t="n">
        <x:f>IF(AND(ISNUMBER(B24),ISNUMBER(E24)),ROUND(B24*E24,2),"Pending")</x:f>
        <x:v>126.5</x:v>
      </x:c>
      <x:c r="G24" s="39" t="str">
        <x:v>Required</x:v>
      </x:c>
      <x:c r="H24" s="39" t="str">
        <x:v>Estimate</x:v>
      </x:c>
      <x:c r="I24" s="39" t="str">
        <x:f>IF(G24="Optional","Deferred — unfunded",IF(F24=0,"User-funded (donated)",IF(AND('Sources and Funding'!E28&gt;0,'Sources and Funding'!F28&gt;0),"Split user / grant",IF(AND('Sources and Funding'!G28&gt;0,OR('Sources and Funding'!E28&gt;0,'Sources and Funding'!F28&gt;0)),"Part funded; see Sources",IF('Sources and Funding'!E28&gt;0,"User-funded",IF('Sources and Funding'!F28&gt;0,"Grant-funded","Funding needed"))))))</x:f>
        <x:v>Grant-funded</x:v>
      </x:c>
    </x:row>
    <x:row r="25" ht="90" customHeight="1">
      <x:c r="A25" s="24" t="str">
        <x:v>B18 · AC branch breakers</x:v>
      </x:c>
      <x:c r="B25" s="32" t="n">
        <x:v>1</x:v>
      </x:c>
      <x:c r="C25" s="33" t="str">
        <x:v>1 kit: panel-approved 30 A main, 30 A TT-30 branch and 2 × 20 A GFCI-circuit breakers; final part numbers per PD5000 label. [Unit: lot]</x:v>
      </x:c>
      <x:c r="D25" s="33" t="str">
        <x:v>Electrical / RV supplier</x:v>
      </x:c>
      <x:c r="E25" s="34" t="n">
        <x:v>60</x:v>
      </x:c>
      <x:c r="F25" s="36" t="n">
        <x:f>IF(AND(ISNUMBER(B25),ISNUMBER(E25)),ROUND(B25*E25,2),"Pending")</x:f>
        <x:v>60</x:v>
      </x:c>
      <x:c r="G25" s="40" t="str">
        <x:v>Required</x:v>
      </x:c>
      <x:c r="H25" s="40" t="str">
        <x:v>Estimate</x:v>
      </x:c>
      <x:c r="I25" s="40" t="str">
        <x:f>IF(G25="Optional","Deferred — unfunded",IF(F25=0,"User-funded (donated)",IF(AND('Sources and Funding'!E29&gt;0,'Sources and Funding'!F29&gt;0),"Split user / grant",IF(AND('Sources and Funding'!G29&gt;0,OR('Sources and Funding'!E29&gt;0,'Sources and Funding'!F29&gt;0)),"Part funded; see Sources",IF('Sources and Funding'!E29&gt;0,"User-funded",IF('Sources and Funding'!F29&gt;0,"Grant-funded","Funding needed"))))))</x:f>
        <x:v>Grant-funded</x:v>
      </x:c>
    </x:row>
    <x:row r="26" ht="90" customHeight="1">
      <x:c r="A26" s="23" t="str">
        <x:v>B19 · TT-30R RV receptacle / weatherproof enclosure</x:v>
      </x:c>
      <x:c r="B26" s="29" t="n">
        <x:v>1</x:v>
      </x:c>
      <x:c r="C26" s="30" t="str">
        <x:v>MAKERZ model 273, TT-30R 30 A 125 V outdoor receptacle box. 120 V RV output, not 240 V. [Unit: ea]</x:v>
      </x:c>
      <x:c r="D26" s="30" t="str">
        <x:v>The Home Depot</x:v>
      </x:c>
      <x:c r="E26" s="31" t="n">
        <x:v>26.79</x:v>
      </x:c>
      <x:c r="F26" s="35" t="n">
        <x:f>IF(AND(ISNUMBER(B26),ISNUMBER(E26)),ROUND(B26*E26,2),"Pending")</x:f>
        <x:v>26.79</x:v>
      </x:c>
      <x:c r="G26" s="39" t="str">
        <x:v>Required</x:v>
      </x:c>
      <x:c r="H26" s="39" t="str">
        <x:v>Confirmed price</x:v>
      </x:c>
      <x:c r="I26" s="39" t="str">
        <x:f>IF(G26="Optional","Deferred — unfunded",IF(F26=0,"User-funded (donated)",IF(AND('Sources and Funding'!E30&gt;0,'Sources and Funding'!F30&gt;0),"Split user / grant",IF(AND('Sources and Funding'!G30&gt;0,OR('Sources and Funding'!E30&gt;0,'Sources and Funding'!F30&gt;0)),"Part funded; see Sources",IF('Sources and Funding'!E30&gt;0,"User-funded",IF('Sources and Funding'!F30&gt;0,"Grant-funded","Funding needed"))))))</x:f>
        <x:v>Grant-funded</x:v>
      </x:c>
    </x:row>
    <x:row r="27" ht="90" customHeight="1">
      <x:c r="A27" s="24" t="str">
        <x:v>B20 · 20 A GFCI outdoor receptacles</x:v>
      </x:c>
      <x:c r="B27" s="32" t="n">
        <x:v>2</x:v>
      </x:c>
      <x:c r="C27" s="33" t="str">
        <x:v>Each kit: Leviton GFWT2-W 20 A 125 V TR/WR GFCI ($17.80) + weatherproof box and in-use cover ($20 estimate). [Unit: ea]</x:v>
      </x:c>
      <x:c r="D27" s="33" t="str">
        <x:v>The Home Depot / electrical supplier</x:v>
      </x:c>
      <x:c r="E27" s="34" t="n">
        <x:v>37.8</x:v>
      </x:c>
      <x:c r="F27" s="36" t="n">
        <x:f>IF(AND(ISNUMBER(B27),ISNUMBER(E27)),ROUND(B27*E27,2),"Pending")</x:f>
        <x:v>75.6</x:v>
      </x:c>
      <x:c r="G27" s="40" t="str">
        <x:v>Required</x:v>
      </x:c>
      <x:c r="H27" s="40" t="str">
        <x:v>Estimate</x:v>
      </x:c>
      <x:c r="I27" s="40" t="str">
        <x:f>IF(G27="Optional","Deferred — unfunded",IF(F27=0,"User-funded (donated)",IF(AND('Sources and Funding'!E31&gt;0,'Sources and Funding'!F31&gt;0),"Split user / grant",IF(AND('Sources and Funding'!G31&gt;0,OR('Sources and Funding'!E31&gt;0,'Sources and Funding'!F31&gt;0)),"Part funded; see Sources",IF('Sources and Funding'!E31&gt;0,"User-funded",IF('Sources and Funding'!F31&gt;0,"Grant-funded","Funding needed"))))))</x:f>
        <x:v>Grant-funded</x:v>
      </x:c>
    </x:row>
    <x:row r="28" ht="90" customHeight="1">
      <x:c r="A28" s="23" t="str">
        <x:v>B21 · AC wire, conduit, junction boxes, fittings</x:v>
      </x:c>
      <x:c r="B28" s="29" t="n">
        <x:v>1</x:v>
      </x:c>
      <x:c r="C28" s="30" t="str">
        <x:v>1 lot: 25 conductor-ft inverter AC feeder, 60 conductor-ft branch wire, conduit, clamps and fittings. Exact gauges and terminal adapters per Victron/manual and 30 A distribution review. [Unit: lot]</x:v>
      </x:c>
      <x:c r="D28" s="30" t="str">
        <x:v>Local electrical supplier</x:v>
      </x:c>
      <x:c r="E28" s="31" t="n">
        <x:v>160</x:v>
      </x:c>
      <x:c r="F28" s="35" t="n">
        <x:f>IF(AND(ISNUMBER(B28),ISNUMBER(E28)),ROUND(B28*E28,2),"Pending")</x:f>
        <x:v>160</x:v>
      </x:c>
      <x:c r="G28" s="39" t="str">
        <x:v>Required</x:v>
      </x:c>
      <x:c r="H28" s="39" t="str">
        <x:v>Estimate</x:v>
      </x:c>
      <x:c r="I28" s="39" t="str">
        <x:f>IF(G28="Optional","Deferred — unfunded",IF(F28=0,"User-funded (donated)",IF(AND('Sources and Funding'!E32&gt;0,'Sources and Funding'!F32&gt;0),"Split user / grant",IF(AND('Sources and Funding'!G32&gt;0,OR('Sources and Funding'!E32&gt;0,'Sources and Funding'!F32&gt;0)),"Part funded; see Sources",IF('Sources and Funding'!E32&gt;0,"User-funded",IF('Sources and Funding'!F32&gt;0,"Grant-funded","Funding needed"))))))</x:f>
        <x:v>Grant-funded</x:v>
      </x:c>
    </x:row>
    <x:row r="29" ht="90" customHeight="1">
      <x:c r="A29" s="24" t="str">
        <x:v>B22 · Roof rails, brackets and panel mounting hardware</x:v>
      </x:c>
      <x:c r="B29" s="32" t="n">
        <x:v>1</x:v>
      </x:c>
      <x:c r="C29" s="33" t="str">
        <x:v>1 fabricated lot for 4 roof panels: rails, roof-frame attachment brackets and module clamps. Materials $250; owner labor donated. [Unit: lot]</x:v>
      </x:c>
      <x:c r="D29" s="33" t="str">
        <x:v>Local metal / solar-racking supplier</x:v>
      </x:c>
      <x:c r="E29" s="34" t="n">
        <x:v>250</x:v>
      </x:c>
      <x:c r="F29" s="36" t="n">
        <x:f>IF(AND(ISNUMBER(B29),ISNUMBER(E29)),ROUND(B29*E29,2),"Pending")</x:f>
        <x:v>250</x:v>
      </x:c>
      <x:c r="G29" s="40" t="str">
        <x:v>Required</x:v>
      </x:c>
      <x:c r="H29" s="40" t="str">
        <x:v>Estimate</x:v>
      </x:c>
      <x:c r="I29" s="40" t="str">
        <x:f>IF(G29="Optional","Deferred — unfunded",IF(F29=0,"User-funded (donated)",IF(AND('Sources and Funding'!E33&gt;0,'Sources and Funding'!F33&gt;0),"Split user / grant",IF(AND('Sources and Funding'!G33&gt;0,OR('Sources and Funding'!E33&gt;0,'Sources and Funding'!F33&gt;0)),"Part funded; see Sources",IF('Sources and Funding'!E33&gt;0,"User-funded",IF('Sources and Funding'!F33&gt;0,"Grant-funded","Funding needed"))))))</x:f>
        <x:v>Grant-funded</x:v>
      </x:c>
    </x:row>
    <x:row r="30" ht="90" customHeight="1">
      <x:c r="A30" s="23" t="str">
        <x:v>B23 · 1.5 in square steel structural backbone tube</x:v>
      </x:c>
      <x:c r="B30" s="29" t="n">
        <x:v>32</x:v>
      </x:c>
      <x:c r="C30" s="30" t="str">
        <x:v>A500/A513 carbon-steel square tube, 1.5 × 1.5 × 0.120 in reference section, 32 linear ft. [Unit: ft]</x:v>
      </x:c>
      <x:c r="D30" s="30" t="str">
        <x:v>OnlineMetals / local steel supplier</x:v>
      </x:c>
      <x:c r="E30" s="31" t="n">
        <x:v>10.36</x:v>
      </x:c>
      <x:c r="F30" s="35" t="n">
        <x:f>IF(AND(ISNUMBER(B30),ISNUMBER(E30)),ROUND(B30*E30,2),"Pending")</x:f>
        <x:v>331.52</x:v>
      </x:c>
      <x:c r="G30" s="39" t="str">
        <x:v>Required</x:v>
      </x:c>
      <x:c r="H30" s="39" t="str">
        <x:v>Estimate</x:v>
      </x:c>
      <x:c r="I30" s="39" t="str">
        <x:f>IF(G30="Optional","Deferred — unfunded",IF(F30=0,"User-funded (donated)",IF(AND('Sources and Funding'!E34&gt;0,'Sources and Funding'!F34&gt;0),"Split user / grant",IF(AND('Sources and Funding'!G34&gt;0,OR('Sources and Funding'!E34&gt;0,'Sources and Funding'!F34&gt;0)),"Part funded; see Sources",IF('Sources and Funding'!E34&gt;0,"User-funded",IF('Sources and Funding'!F34&gt;0,"Grant-funded","Funding needed"))))))</x:f>
        <x:v>Grant-funded</x:v>
      </x:c>
    </x:row>
    <x:row r="31" ht="90" customHeight="1">
      <x:c r="A31" s="24" t="str">
        <x:v>B24 · Backbone mounting brackets / weld plates</x:v>
      </x:c>
      <x:c r="B31" s="32" t="n">
        <x:v>1</x:v>
      </x:c>
      <x:c r="C31" s="33" t="str">
        <x:v>1 fabricated lot: backbone mounting brackets and weld plates; $120 materials only, dimensions by structural review. [Unit: lot]</x:v>
      </x:c>
      <x:c r="D31" s="33" t="str">
        <x:v>Local metal supplier</x:v>
      </x:c>
      <x:c r="E31" s="34" t="n">
        <x:v>120</x:v>
      </x:c>
      <x:c r="F31" s="36" t="n">
        <x:f>IF(AND(ISNUMBER(B31),ISNUMBER(E31)),ROUND(B31*E31,2),"Pending")</x:f>
        <x:v>120</x:v>
      </x:c>
      <x:c r="G31" s="40" t="str">
        <x:v>Required</x:v>
      </x:c>
      <x:c r="H31" s="40" t="str">
        <x:v>Estimate</x:v>
      </x:c>
      <x:c r="I31" s="40" t="str">
        <x:f>IF(G31="Optional","Deferred — unfunded",IF(F31=0,"User-funded (donated)",IF(AND('Sources and Funding'!E35&gt;0,'Sources and Funding'!F35&gt;0),"Split user / grant",IF(AND('Sources and Funding'!G35&gt;0,OR('Sources and Funding'!E35&gt;0,'Sources and Funding'!F35&gt;0)),"Part funded; see Sources",IF('Sources and Funding'!E35&gt;0,"User-funded",IF('Sources and Funding'!F35&gt;0,"Grant-funded","Funding needed"))))))</x:f>
        <x:v>Grant-funded</x:v>
      </x:c>
    </x:row>
    <x:row r="32" ht="90" customHeight="1">
      <x:c r="A32" s="23" t="str">
        <x:v>B25 · Aluminum wing carrier rails / frames</x:v>
      </x:c>
      <x:c r="B32" s="29" t="n">
        <x:v>60</x:v>
      </x:c>
      <x:c r="C32" s="30" t="str">
        <x:v>6061-T6 wing carrier tube, 60 linear ft total for 4 panels across 2 independently deployable side wings. Section size by review. [Unit: ft]</x:v>
      </x:c>
      <x:c r="D32" s="30" t="str">
        <x:v>Local aluminum supplier</x:v>
      </x:c>
      <x:c r="E32" s="31" t="n">
        <x:v>5</x:v>
      </x:c>
      <x:c r="F32" s="35" t="n">
        <x:f>IF(AND(ISNUMBER(B32),ISNUMBER(E32)),ROUND(B32*E32,2),"Pending")</x:f>
        <x:v>300</x:v>
      </x:c>
      <x:c r="G32" s="39" t="str">
        <x:v>Required</x:v>
      </x:c>
      <x:c r="H32" s="39" t="str">
        <x:v>Estimate</x:v>
      </x:c>
      <x:c r="I32" s="39" t="str">
        <x:f>IF(G32="Optional","Deferred — unfunded",IF(F32=0,"User-funded (donated)",IF(AND('Sources and Funding'!E36&gt;0,'Sources and Funding'!F36&gt;0),"Split user / grant",IF(AND('Sources and Funding'!G36&gt;0,OR('Sources and Funding'!E36&gt;0,'Sources and Funding'!F36&gt;0)),"Part funded; see Sources",IF('Sources and Funding'!E36&gt;0,"User-funded",IF('Sources and Funding'!F36&gt;0,"Grant-funded","Funding needed"))))))</x:f>
        <x:v>Grant-funded</x:v>
      </x:c>
    </x:row>
    <x:row r="33" ht="90" customHeight="1">
      <x:c r="A33" s="24" t="str">
        <x:v>B26 · Aluminum diagonal brace tubing</x:v>
      </x:c>
      <x:c r="B33" s="32" t="n">
        <x:v>30</x:v>
      </x:c>
      <x:c r="C33" s="33" t="str">
        <x:v>6061-T6 brace tube, 30 linear ft; triangular supports, 2 braces per panel reference layout. Section size by structural review. [Unit: ft]</x:v>
      </x:c>
      <x:c r="D33" s="33" t="str">
        <x:v>Local aluminum supplier</x:v>
      </x:c>
      <x:c r="E33" s="34" t="n">
        <x:v>3.33</x:v>
      </x:c>
      <x:c r="F33" s="36" t="n">
        <x:f>IF(AND(ISNUMBER(B33),ISNUMBER(E33)),ROUND(B33*E33,2),"Pending")</x:f>
        <x:v>99.9</x:v>
      </x:c>
      <x:c r="G33" s="40" t="str">
        <x:v>Required</x:v>
      </x:c>
      <x:c r="H33" s="40" t="str">
        <x:v>Estimate</x:v>
      </x:c>
      <x:c r="I33" s="40" t="str">
        <x:f>IF(G33="Optional","Deferred — unfunded",IF(F33=0,"User-funded (donated)",IF(AND('Sources and Funding'!E37&gt;0,'Sources and Funding'!F37&gt;0),"Split user / grant",IF(AND('Sources and Funding'!G37&gt;0,OR('Sources and Funding'!E37&gt;0,'Sources and Funding'!F37&gt;0)),"Part funded; see Sources",IF('Sources and Funding'!E37&gt;0,"User-funded",IF('Sources and Funding'!F37&gt;0,"Grant-funded","Funding needed"))))))</x:f>
        <x:v>Grant-funded</x:v>
      </x:c>
    </x:row>
    <x:row r="34" ht="90" customHeight="1">
      <x:c r="A34" s="23" t="str">
        <x:v>B27 · Heavy hinge / pivot hardware with bushings</x:v>
      </x:c>
      <x:c r="B34" s="29" t="n">
        <x:v>12</x:v>
      </x:c>
      <x:c r="C34" s="30" t="str">
        <x:v>12 corrosion-resistant structural hinge/pivot assemblies with bushings, 3 per panel reference. Final rated part selected after load calculation. [Unit: ea]</x:v>
      </x:c>
      <x:c r="D34" s="30" t="str">
        <x:v>Industrial hardware supplier</x:v>
      </x:c>
      <x:c r="E34" s="31" t="n">
        <x:v>12.5</x:v>
      </x:c>
      <x:c r="F34" s="35" t="n">
        <x:f>IF(AND(ISNUMBER(B34),ISNUMBER(E34)),ROUND(B34*E34,2),"Pending")</x:f>
        <x:v>150</x:v>
      </x:c>
      <x:c r="G34" s="39" t="str">
        <x:v>Required</x:v>
      </x:c>
      <x:c r="H34" s="39" t="str">
        <x:v>Estimate</x:v>
      </x:c>
      <x:c r="I34" s="39" t="str">
        <x:f>IF(G34="Optional","Deferred — unfunded",IF(F34=0,"User-funded (donated)",IF(AND('Sources and Funding'!E38&gt;0,'Sources and Funding'!F38&gt;0),"Split user / grant",IF(AND('Sources and Funding'!G38&gt;0,OR('Sources and Funding'!E38&gt;0,'Sources and Funding'!F38&gt;0)),"Part funded; see Sources",IF('Sources and Funding'!E38&gt;0,"User-funded",IF('Sources and Funding'!F38&gt;0,"Grant-funded","Funding needed"))))))</x:f>
        <x:v>Grant-funded</x:v>
      </x:c>
    </x:row>
    <x:row r="35" ht="90" customHeight="1">
      <x:c r="A35" s="24" t="str">
        <x:v>B28 · 1/2 in clevis / hitch pins</x:v>
      </x:c>
      <x:c r="B35" s="32" t="n">
        <x:v>8</x:v>
      </x:c>
      <x:c r="C35" s="33" t="str">
        <x:v>8 × 1/2 in clevis/hitch pins with positive retaining clips; length and material to suit approved brace joint. [Unit: ea]</x:v>
      </x:c>
      <x:c r="D35" s="33" t="str">
        <x:v>Industrial hardware supplier</x:v>
      </x:c>
      <x:c r="E35" s="34" t="n">
        <x:v>8</x:v>
      </x:c>
      <x:c r="F35" s="36" t="n">
        <x:f>IF(AND(ISNUMBER(B35),ISNUMBER(E35)),ROUND(B35*E35,2),"Pending")</x:f>
        <x:v>64</x:v>
      </x:c>
      <x:c r="G35" s="40" t="str">
        <x:v>Required</x:v>
      </x:c>
      <x:c r="H35" s="40" t="str">
        <x:v>Estimate</x:v>
      </x:c>
      <x:c r="I35" s="40" t="str">
        <x:f>IF(G35="Optional","Deferred — unfunded",IF(F35=0,"User-funded (donated)",IF(AND('Sources and Funding'!E39&gt;0,'Sources and Funding'!F39&gt;0),"Split user / grant",IF(AND('Sources and Funding'!G39&gt;0,OR('Sources and Funding'!E39&gt;0,'Sources and Funding'!F39&gt;0)),"Part funded; see Sources",IF('Sources and Funding'!E39&gt;0,"User-funded",IF('Sources and Funding'!F39&gt;0,"Grant-funded","Funding needed"))))))</x:f>
        <x:v>Grant-funded</x:v>
      </x:c>
    </x:row>
    <x:row r="36" ht="90" customHeight="1">
      <x:c r="A36" s="23" t="str">
        <x:v>B29 · Over-center travel latches</x:v>
      </x:c>
      <x:c r="B36" s="29" t="n">
        <x:v>8</x:v>
      </x:c>
      <x:c r="C36" s="30" t="str">
        <x:v>8 positive-locking over-center travel latch assemblies with keepers, 2 per panel across 2 side wings; load rating by review. [Unit: ea]</x:v>
      </x:c>
      <x:c r="D36" s="30" t="str">
        <x:v>Industrial hardware supplier</x:v>
      </x:c>
      <x:c r="E36" s="31" t="n">
        <x:v>12.5</x:v>
      </x:c>
      <x:c r="F36" s="35" t="n">
        <x:f>IF(AND(ISNUMBER(B36),ISNUMBER(E36)),ROUND(B36*E36,2),"Pending")</x:f>
        <x:v>100</x:v>
      </x:c>
      <x:c r="G36" s="39" t="str">
        <x:v>Required</x:v>
      </x:c>
      <x:c r="H36" s="39" t="str">
        <x:v>Estimate</x:v>
      </x:c>
      <x:c r="I36" s="39" t="str">
        <x:f>IF(G36="Optional","Deferred — unfunded",IF(F36=0,"User-funded (donated)",IF(AND('Sources and Funding'!E40&gt;0,'Sources and Funding'!F40&gt;0),"Split user / grant",IF(AND('Sources and Funding'!G40&gt;0,OR('Sources and Funding'!E40&gt;0,'Sources and Funding'!F40&gt;0)),"Part funded; see Sources",IF('Sources and Funding'!E40&gt;0,"User-funded",IF('Sources and Funding'!F40&gt;0,"Grant-funded","Funding needed"))))))</x:f>
        <x:v>Grant-funded</x:v>
      </x:c>
    </x:row>
    <x:row r="37" ht="90" customHeight="1">
      <x:c r="A37" s="24" t="str">
        <x:v>B30 · Wall reinforcement / backing plates</x:v>
      </x:c>
      <x:c r="B37" s="32" t="n">
        <x:v>1</x:v>
      </x:c>
      <x:c r="C37" s="33" t="str">
        <x:v>1 fabricated lot: wall backing plates and reinforcement at hinge/brace load paths; $150 material estimate. [Unit: lot]</x:v>
      </x:c>
      <x:c r="D37" s="33" t="str">
        <x:v>Local metal supplier</x:v>
      </x:c>
      <x:c r="E37" s="34" t="n">
        <x:v>150</x:v>
      </x:c>
      <x:c r="F37" s="36" t="n">
        <x:f>IF(AND(ISNUMBER(B37),ISNUMBER(E37)),ROUND(B37*E37,2),"Pending")</x:f>
        <x:v>150</x:v>
      </x:c>
      <x:c r="G37" s="40" t="str">
        <x:v>Required</x:v>
      </x:c>
      <x:c r="H37" s="40" t="str">
        <x:v>Estimate</x:v>
      </x:c>
      <x:c r="I37" s="40" t="str">
        <x:f>IF(G37="Optional","Deferred — unfunded",IF(F37=0,"User-funded (donated)",IF(AND('Sources and Funding'!E41&gt;0,'Sources and Funding'!F41&gt;0),"Split user / grant",IF(AND('Sources and Funding'!G41&gt;0,OR('Sources and Funding'!E41&gt;0,'Sources and Funding'!F41&gt;0)),"Part funded; see Sources",IF('Sources and Funding'!E41&gt;0,"User-funded",IF('Sources and Funding'!F41&gt;0,"Grant-funded","Funding needed"))))))</x:f>
        <x:v>Grant-funded</x:v>
      </x:c>
    </x:row>
    <x:row r="38" ht="90" customHeight="1">
      <x:c r="A38" s="23" t="str">
        <x:v>B31 · Safety retention cables / eye hardware</x:v>
      </x:c>
      <x:c r="B38" s="29" t="n">
        <x:v>1</x:v>
      </x:c>
      <x:c r="C38" s="30" t="str">
        <x:v>1 lot: 4 independent secondary retention cables, rated eye hardware and end fittings; $75 material estimate. [Unit: lot]</x:v>
      </x:c>
      <x:c r="D38" s="30" t="str">
        <x:v>Industrial hardware supplier</x:v>
      </x:c>
      <x:c r="E38" s="31" t="n">
        <x:v>75</x:v>
      </x:c>
      <x:c r="F38" s="35" t="n">
        <x:f>IF(AND(ISNUMBER(B38),ISNUMBER(E38)),ROUND(B38*E38,2),"Pending")</x:f>
        <x:v>75</x:v>
      </x:c>
      <x:c r="G38" s="39" t="str">
        <x:v>Required</x:v>
      </x:c>
      <x:c r="H38" s="39" t="str">
        <x:v>Estimate</x:v>
      </x:c>
      <x:c r="I38" s="39" t="str">
        <x:f>IF(G38="Optional","Deferred — unfunded",IF(F38=0,"User-funded (donated)",IF(AND('Sources and Funding'!E42&gt;0,'Sources and Funding'!F42&gt;0),"Split user / grant",IF(AND('Sources and Funding'!G42&gt;0,OR('Sources and Funding'!E42&gt;0,'Sources and Funding'!F42&gt;0)),"Part funded; see Sources",IF('Sources and Funding'!E42&gt;0,"User-funded",IF('Sources and Funding'!F42&gt;0,"Grant-funded","Funding needed"))))))</x:f>
        <x:v>Grant-funded</x:v>
      </x:c>
    </x:row>
    <x:row r="39" ht="90" customHeight="1">
      <x:c r="A39" s="24" t="str">
        <x:v>B32 · Stainless fasteners, isolators, sealant</x:v>
      </x:c>
      <x:c r="B39" s="32" t="n">
        <x:v>1</x:v>
      </x:c>
      <x:c r="C39" s="33" t="str">
        <x:v>1 lot: stainless fasteners, isolating washers/pads, roof sealant and corrosion protection; $150 source allowance. [Unit: lot]</x:v>
      </x:c>
      <x:c r="D39" s="33" t="str">
        <x:v>Local hardware supplier</x:v>
      </x:c>
      <x:c r="E39" s="34" t="n">
        <x:v>150</x:v>
      </x:c>
      <x:c r="F39" s="36" t="n">
        <x:f>IF(AND(ISNUMBER(B39),ISNUMBER(E39)),ROUND(B39*E39,2),"Pending")</x:f>
        <x:v>150</x:v>
      </x:c>
      <x:c r="G39" s="40" t="str">
        <x:v>Required</x:v>
      </x:c>
      <x:c r="H39" s="40" t="str">
        <x:v>Estimate</x:v>
      </x:c>
      <x:c r="I39" s="40" t="str">
        <x:f>IF(G39="Optional","Deferred — unfunded",IF(F39=0,"User-funded (donated)",IF(AND('Sources and Funding'!E43&gt;0,'Sources and Funding'!F43&gt;0),"Split user / grant",IF(AND('Sources and Funding'!G43&gt;0,OR('Sources and Funding'!E43&gt;0,'Sources and Funding'!F43&gt;0)),"Part funded; see Sources",IF('Sources and Funding'!E43&gt;0,"User-funded",IF('Sources and Funding'!F43&gt;0,"Grant-funded","Funding needed"))))))</x:f>
        <x:v>Grant-funded</x:v>
      </x:c>
    </x:row>
    <x:row r="40" ht="90" customHeight="1">
      <x:c r="A40" s="23" t="str">
        <x:v>B33 · Equipment bay materials</x:v>
      </x:c>
      <x:c r="B40" s="29" t="n">
        <x:v>1</x:v>
      </x:c>
      <x:c r="C40" s="30" t="str">
        <x:v>1 lot: protected front electrical bay, nonconductive barriers, mounting board, AC panel back protection and service access. [Unit: lot]</x:v>
      </x:c>
      <x:c r="D40" s="30" t="str">
        <x:v>Local hardware supplier</x:v>
      </x:c>
      <x:c r="E40" s="31" t="n">
        <x:v>150</x:v>
      </x:c>
      <x:c r="F40" s="35" t="n">
        <x:f>IF(AND(ISNUMBER(B40),ISNUMBER(E40)),ROUND(B40*E40,2),"Pending")</x:f>
        <x:v>150</x:v>
      </x:c>
      <x:c r="G40" s="39" t="str">
        <x:v>Required</x:v>
      </x:c>
      <x:c r="H40" s="39" t="str">
        <x:v>Estimate</x:v>
      </x:c>
      <x:c r="I40" s="39" t="str">
        <x:f>IF(G40="Optional","Deferred — unfunded",IF(F40=0,"User-funded (donated)",IF(AND('Sources and Funding'!E44&gt;0,'Sources and Funding'!F44&gt;0),"Split user / grant",IF(AND('Sources and Funding'!G44&gt;0,OR('Sources and Funding'!E44&gt;0,'Sources and Funding'!F44&gt;0)),"Part funded; see Sources",IF('Sources and Funding'!E44&gt;0,"User-funded",IF('Sources and Funding'!F44&gt;0,"Grant-funded","Funding needed"))))))</x:f>
        <x:v>Grant-funded</x:v>
      </x:c>
    </x:row>
    <x:row r="41" ht="90" customHeight="1">
      <x:c r="A41" s="24" t="str">
        <x:v>B34 · Filtered intake / exhaust ventilation</x:v>
      </x:c>
      <x:c r="B41" s="32" t="n">
        <x:v>1</x:v>
      </x:c>
      <x:c r="C41" s="33" t="str">
        <x:v>AC Infinity AIRPLATE T7 AI-APT7 fan/controller $89.99 + replaceable filters, separate intake/exhaust and louvers $60 estimate. [Unit: lot]</x:v>
      </x:c>
      <x:c r="D41" s="33" t="str">
        <x:v>AC Infinity + local hardware supplier</x:v>
      </x:c>
      <x:c r="E41" s="34" t="n">
        <x:v>149.99</x:v>
      </x:c>
      <x:c r="F41" s="36" t="n">
        <x:f>IF(AND(ISNUMBER(B41),ISNUMBER(E41)),ROUND(B41*E41,2),"Pending")</x:f>
        <x:v>149.99</x:v>
      </x:c>
      <x:c r="G41" s="40" t="str">
        <x:v>Required</x:v>
      </x:c>
      <x:c r="H41" s="40" t="str">
        <x:v>Estimate</x:v>
      </x:c>
      <x:c r="I41" s="40" t="str">
        <x:f>IF(G41="Optional","Deferred — unfunded",IF(F41=0,"User-funded (donated)",IF(AND('Sources and Funding'!E45&gt;0,'Sources and Funding'!F45&gt;0),"Split user / grant",IF(AND('Sources and Funding'!G45&gt;0,OR('Sources and Funding'!E45&gt;0,'Sources and Funding'!F45&gt;0)),"Part funded; see Sources",IF('Sources and Funding'!E45&gt;0,"User-funded",IF('Sources and Funding'!F45&gt;0,"Grant-funded","Funding needed"))))))</x:f>
        <x:v>Grant-funded</x:v>
      </x:c>
    </x:row>
    <x:row r="42" ht="90" customHeight="1">
      <x:c r="A42" s="23" t="str">
        <x:v>B35 · Temperature monitoring / alarm</x:v>
      </x:c>
      <x:c r="B42" s="29" t="n">
        <x:v>1</x:v>
      </x:c>
      <x:c r="C42" s="30" t="str">
        <x:v>INKBIRD ITC-308 US 110 V, wired probe and high/low temperature alarm; independent compartment monitoring. [Unit: lot]</x:v>
      </x:c>
      <x:c r="D42" s="30" t="str">
        <x:v>INKBIRD</x:v>
      </x:c>
      <x:c r="E42" s="31" t="n">
        <x:v>35.99</x:v>
      </x:c>
      <x:c r="F42" s="35" t="n">
        <x:f>IF(AND(ISNUMBER(B42),ISNUMBER(E42)),ROUND(B42*E42,2),"Pending")</x:f>
        <x:v>35.99</x:v>
      </x:c>
      <x:c r="G42" s="39" t="str">
        <x:v>Required</x:v>
      </x:c>
      <x:c r="H42" s="39" t="str">
        <x:v>Confirmed price</x:v>
      </x:c>
      <x:c r="I42" s="39" t="str">
        <x:f>IF(G42="Optional","Deferred — unfunded",IF(F42=0,"User-funded (donated)",IF(AND('Sources and Funding'!E46&gt;0,'Sources and Funding'!F46&gt;0),"Split user / grant",IF(AND('Sources and Funding'!G46&gt;0,OR('Sources and Funding'!E46&gt;0,'Sources and Funding'!F46&gt;0)),"Part funded; see Sources",IF('Sources and Funding'!E46&gt;0,"User-funded",IF('Sources and Funding'!F46&gt;0,"Grant-funded","Funding needed"))))))</x:f>
        <x:v>Grant-funded</x:v>
      </x:c>
    </x:row>
    <x:row r="43" ht="90" customHeight="1">
      <x:c r="A43" s="24" t="str">
        <x:v>B36 · Gaskets, cable glands, edge protection</x:v>
      </x:c>
      <x:c r="B43" s="32" t="n">
        <x:v>1</x:v>
      </x:c>
      <x:c r="C43" s="33" t="str">
        <x:v>1 lot: compartment door gasket, non-PV cable glands and abrasion-resistant edge trim; $50 source allowance. [Unit: lot]</x:v>
      </x:c>
      <x:c r="D43" s="33" t="str">
        <x:v>Local hardware supplier</x:v>
      </x:c>
      <x:c r="E43" s="34" t="n">
        <x:v>50</x:v>
      </x:c>
      <x:c r="F43" s="36" t="n">
        <x:f>IF(AND(ISNUMBER(B43),ISNUMBER(E43)),ROUND(B43*E43,2),"Pending")</x:f>
        <x:v>50</x:v>
      </x:c>
      <x:c r="G43" s="40" t="str">
        <x:v>Required</x:v>
      </x:c>
      <x:c r="H43" s="40" t="str">
        <x:v>Estimate</x:v>
      </x:c>
      <x:c r="I43" s="40" t="str">
        <x:f>IF(G43="Optional","Deferred — unfunded",IF(F43=0,"User-funded (donated)",IF(AND('Sources and Funding'!E47&gt;0,'Sources and Funding'!F47&gt;0),"Split user / grant",IF(AND('Sources and Funding'!G47&gt;0,OR('Sources and Funding'!E47&gt;0,'Sources and Funding'!F47&gt;0)),"Part funded; see Sources",IF('Sources and Funding'!E47&gt;0,"User-funded",IF('Sources and Funding'!F47&gt;0,"Grant-funded","Funding needed"))))))</x:f>
        <x:v>Grant-funded</x:v>
      </x:c>
    </x:row>
    <x:row r="44" ht="90" customHeight="1">
      <x:c r="A44" s="23" t="str">
        <x:v>B37 · Battery shunt / monitor</x:v>
      </x:c>
      <x:c r="B44" s="29" t="n">
        <x:v>1</x:v>
      </x:c>
      <x:c r="C44" s="30" t="str">
        <x:v>Victron SmartShunt 500 A / 50 mV, SHU050150050, Bluetooth battery monitoring. [Unit: ea]</x:v>
      </x:c>
      <x:c r="D44" s="30" t="str">
        <x:v>Battle Born Batteries</x:v>
      </x:c>
      <x:c r="E44" s="31" t="n">
        <x:v>100.3</x:v>
      </x:c>
      <x:c r="F44" s="35" t="n">
        <x:f>IF(AND(ISNUMBER(B44),ISNUMBER(E44)),ROUND(B44*E44,2),"Pending")</x:f>
        <x:v>100.3</x:v>
      </x:c>
      <x:c r="G44" s="39" t="str">
        <x:v>Required</x:v>
      </x:c>
      <x:c r="H44" s="39" t="str">
        <x:v>Confirmed price</x:v>
      </x:c>
      <x:c r="I44" s="39" t="str">
        <x:f>IF(G44="Optional","Deferred — unfunded",IF(F44=0,"User-funded (donated)",IF(AND('Sources and Funding'!E48&gt;0,'Sources and Funding'!F48&gt;0),"Split user / grant",IF(AND('Sources and Funding'!G48&gt;0,OR('Sources and Funding'!E48&gt;0,'Sources and Funding'!F48&gt;0)),"Part funded; see Sources",IF('Sources and Funding'!E48&gt;0,"User-funded",IF('Sources and Funding'!F48&gt;0,"Grant-funded","Funding needed"))))))</x:f>
        <x:v>Grant-funded</x:v>
      </x:c>
    </x:row>
    <x:row r="45" ht="90" customHeight="1">
      <x:c r="A45" s="24" t="str">
        <x:v>B38 · AC energy meter</x:v>
      </x:c>
      <x:c r="B45" s="32" t="n">
        <x:v>1</x:v>
      </x:c>
      <x:c r="C45" s="33" t="str">
        <x:v>1 enclosed 120 V single-phase energy meter, 50 A minimum measurement range, nonvolatile kWh total and included CT if required. [Unit: ea]</x:v>
      </x:c>
      <x:c r="D45" s="33" t="str">
        <x:v>Electrical metering supplier — to select</x:v>
      </x:c>
      <x:c r="E45" s="34" t="n">
        <x:v>75</x:v>
      </x:c>
      <x:c r="F45" s="36" t="n">
        <x:f>IF(AND(ISNUMBER(B45),ISNUMBER(E45)),ROUND(B45*E45,2),"Pending")</x:f>
        <x:v>75</x:v>
      </x:c>
      <x:c r="G45" s="40" t="str">
        <x:v>Required</x:v>
      </x:c>
      <x:c r="H45" s="40" t="str">
        <x:v>Estimate</x:v>
      </x:c>
      <x:c r="I45" s="40" t="str">
        <x:f>IF(G45="Optional","Deferred — unfunded",IF(F45=0,"User-funded (donated)",IF(AND('Sources and Funding'!E49&gt;0,'Sources and Funding'!F49&gt;0),"Split user / grant",IF(AND('Sources and Funding'!G49&gt;0,OR('Sources and Funding'!E49&gt;0,'Sources and Funding'!F49&gt;0)),"Part funded; see Sources",IF('Sources and Funding'!E49&gt;0,"User-funded",IF('Sources and Funding'!F49&gt;0,"Grant-funded","Funding needed"))))))</x:f>
        <x:v>Grant-funded</x:v>
      </x:c>
    </x:row>
    <x:row r="46" ht="90" customHeight="1">
      <x:c r="A46" s="23" t="str">
        <x:v>B39 · Bonding, labels, warning placards, extinguisher</x:v>
      </x:c>
      <x:c r="B46" s="29" t="n">
        <x:v>1</x:v>
      </x:c>
      <x:c r="C46" s="30" t="str">
        <x:v>1 lot: copper bonding conductors/lugs $40, labels/placards $20, portable ABC extinguisher $40; source $100 allowance. [Unit: lot]</x:v>
      </x:c>
      <x:c r="D46" s="30" t="str">
        <x:v>Local electrical / hardware supplier</x:v>
      </x:c>
      <x:c r="E46" s="31" t="n">
        <x:v>100</x:v>
      </x:c>
      <x:c r="F46" s="35" t="n">
        <x:f>IF(AND(ISNUMBER(B46),ISNUMBER(E46)),ROUND(B46*E46,2),"Pending")</x:f>
        <x:v>100</x:v>
      </x:c>
      <x:c r="G46" s="39" t="str">
        <x:v>Required</x:v>
      </x:c>
      <x:c r="H46" s="39" t="str">
        <x:v>Estimate</x:v>
      </x:c>
      <x:c r="I46" s="39" t="str">
        <x:f>IF(G46="Optional","Deferred — unfunded",IF(F46=0,"User-funded (donated)",IF(AND('Sources and Funding'!E50&gt;0,'Sources and Funding'!F50&gt;0),"Split user / grant",IF(AND('Sources and Funding'!G50&gt;0,OR('Sources and Funding'!E50&gt;0,'Sources and Funding'!F50&gt;0)),"Part funded; see Sources",IF('Sources and Funding'!E50&gt;0,"User-funded",IF('Sources and Funding'!F50&gt;0,"Grant-funded","Funding needed"))))))</x:f>
        <x:v>Grant-funded</x:v>
      </x:c>
    </x:row>
    <x:row r="47" ht="90" customHeight="1">
      <x:c r="A47" s="24" t="str">
        <x:v>B44 · PV branch protective devices</x:v>
      </x:c>
      <x:c r="B47" s="32" t="n">
        <x:v>4</x:v>
      </x:c>
      <x:c r="C47" s="33" t="str">
        <x:v>MidNite MNEPV20-150-1PNP, 20 A 150 V DC reference; 2 roof + 2 wing string devices. Final size per selected module. [Unit: ea]</x:v>
      </x:c>
      <x:c r="D47" s="33" t="str">
        <x:v>Solamp</x:v>
      </x:c>
      <x:c r="E47" s="34" t="n">
        <x:v>26</x:v>
      </x:c>
      <x:c r="F47" s="36" t="n">
        <x:f>IF(AND(ISNUMBER(B47),ISNUMBER(E47)),ROUND(B47*E47,2),"Pending")</x:f>
        <x:v>104</x:v>
      </x:c>
      <x:c r="G47" s="40" t="str">
        <x:v>Required</x:v>
      </x:c>
      <x:c r="H47" s="40" t="str">
        <x:v>Confirmed price</x:v>
      </x:c>
      <x:c r="I47" s="40" t="str">
        <x:f>IF(G47="Optional","Deferred — unfunded",IF(F47=0,"User-funded (donated)",IF(AND('Sources and Funding'!E51&gt;0,'Sources and Funding'!F51&gt;0),"Split user / grant",IF(AND('Sources and Funding'!G51&gt;0,OR('Sources and Funding'!E51&gt;0,'Sources and Funding'!F51&gt;0)),"Part funded; see Sources",IF('Sources and Funding'!E51&gt;0,"User-funded",IF('Sources and Funding'!F51&gt;0,"Grant-funded","Funding needed"))))))</x:f>
        <x:v>Part funded; see Sources</x:v>
      </x:c>
    </x:row>
    <x:row r="48" ht="90" customHeight="1">
      <x:c r="A48" s="23" t="str">
        <x:v>B45 · MPPT battery-side cable kits</x:v>
      </x:c>
      <x:c r="B48" s="29" t="n">
        <x:v>2</x:v>
      </x:c>
      <x:c r="C48" s="30" t="str">
        <x:v>Each: 20 conductor-ft 6 AWG flexible copper, lugs/ferrules, boots and clamps; final size/length by review. [Unit: kit]</x:v>
      </x:c>
      <x:c r="D48" s="30" t="str">
        <x:v>Electrical supplier</x:v>
      </x:c>
      <x:c r="E48" s="31" t="n">
        <x:v>65</x:v>
      </x:c>
      <x:c r="F48" s="35" t="n">
        <x:f>IF(AND(ISNUMBER(B48),ISNUMBER(E48)),ROUND(B48*E48,2),"Pending")</x:f>
        <x:v>130</x:v>
      </x:c>
      <x:c r="G48" s="39" t="str">
        <x:v>Required</x:v>
      </x:c>
      <x:c r="H48" s="39" t="str">
        <x:v>Estimate</x:v>
      </x:c>
      <x:c r="I48" s="39" t="str">
        <x:f>IF(G48="Optional","Deferred — unfunded",IF(F48=0,"User-funded (donated)",IF(AND('Sources and Funding'!E52&gt;0,'Sources and Funding'!F52&gt;0),"Split user / grant",IF(AND('Sources and Funding'!G52&gt;0,OR('Sources and Funding'!E52&gt;0,'Sources and Funding'!F52&gt;0)),"Part funded; see Sources",IF('Sources and Funding'!E52&gt;0,"User-funded",IF('Sources and Funding'!F52&gt;0,"Grant-funded","Funding needed"))))))</x:f>
        <x:v>Funding needed</x:v>
      </x:c>
    </x:row>
    <x:row r="49" ht="90" customHeight="1">
      <x:c r="A49" s="24" t="str">
        <x:v>B46 · Inverter configuration interface and cable</x:v>
      </x:c>
      <x:c r="B49" s="32" t="n">
        <x:v>1</x:v>
      </x:c>
      <x:c r="C49" s="33" t="str">
        <x:v>Victron MK3-USB ASS030140000 reference plus compatible VE.Bus RJ45 cable. [Unit: kit]</x:v>
      </x:c>
      <x:c r="D49" s="33" t="str">
        <x:v>Victron dealer</x:v>
      </x:c>
      <x:c r="E49" s="34" t="n">
        <x:v>100</x:v>
      </x:c>
      <x:c r="F49" s="36" t="n">
        <x:f>IF(AND(ISNUMBER(B49),ISNUMBER(E49)),ROUND(B49*E49,2),"Pending")</x:f>
        <x:v>100</x:v>
      </x:c>
      <x:c r="G49" s="40" t="str">
        <x:v>Required</x:v>
      </x:c>
      <x:c r="H49" s="40" t="str">
        <x:v>Estimate</x:v>
      </x:c>
      <x:c r="I49" s="40" t="str">
        <x:f>IF(G49="Optional","Deferred — unfunded",IF(F49=0,"User-funded (donated)",IF(AND('Sources and Funding'!E53&gt;0,'Sources and Funding'!F53&gt;0),"Split user / grant",IF(AND('Sources and Funding'!G53&gt;0,OR('Sources and Funding'!E53&gt;0,'Sources and Funding'!F53&gt;0)),"Part funded; see Sources",IF('Sources and Funding'!E53&gt;0,"User-funded",IF('Sources and Funding'!F53&gt;0,"Grant-funded","Funding needed"))))))</x:f>
        <x:v>Funding needed</x:v>
      </x:c>
    </x:row>
    <x:row r="50" ht="90" customHeight="1">
      <x:c r="A50" s="23" t="str">
        <x:v>B49 · Cargo restraints and stabilizing hardware</x:v>
      </x:c>
      <x:c r="B50" s="29" t="n">
        <x:v>1</x:v>
      </x:c>
      <x:c r="C50" s="30" t="str">
        <x:v>Rated cargo straps/anchor reinforcement, wheel chocks and stabilizing provisions; preserve mobility-vehicle access. [Unit: lot]</x:v>
      </x:c>
      <x:c r="D50" s="30" t="str">
        <x:v>Trailer / hardware supplier</x:v>
      </x:c>
      <x:c r="E50" s="31" t="n">
        <x:v>150</x:v>
      </x:c>
      <x:c r="F50" s="35" t="n">
        <x:f>IF(AND(ISNUMBER(B50),ISNUMBER(E50)),ROUND(B50*E50,2),"Pending")</x:f>
        <x:v>150</x:v>
      </x:c>
      <x:c r="G50" s="39" t="str">
        <x:v>Required</x:v>
      </x:c>
      <x:c r="H50" s="39" t="str">
        <x:v>Estimate</x:v>
      </x:c>
      <x:c r="I50" s="39" t="str">
        <x:f>IF(G50="Optional","Deferred — unfunded",IF(F50=0,"User-funded (donated)",IF(AND('Sources and Funding'!E54&gt;0,'Sources and Funding'!F54&gt;0),"Split user / grant",IF(AND('Sources and Funding'!G54&gt;0,OR('Sources and Funding'!E54&gt;0,'Sources and Funding'!F54&gt;0)),"Part funded; see Sources",IF('Sources and Funding'!E54&gt;0,"User-funded",IF('Sources and Funding'!F54&gt;0,"Grant-funded","Funding needed"))))))</x:f>
        <x:v>Funding needed</x:v>
      </x:c>
    </x:row>
    <x:row r="51" ht="90" customHeight="1">
      <x:c r="A51" s="24" t="str">
        <x:v>B57 · AC output ground-fault protection assembly</x:v>
      </x:c>
      <x:c r="B51" s="32" t="n">
        <x:v>1</x:v>
      </x:c>
      <x:c r="C51" s="33" t="str">
        <x:v>120 V personnel ground-fault protection with enclosure, coordinated with 30 A AC distribution main, TT-30 and receptacle GFCIs. Exact listed assembly TBD. [Unit: assembly]</x:v>
      </x:c>
      <x:c r="D51" s="33" t="str">
        <x:v>Electrical supplier — part selection pending</x:v>
      </x:c>
      <x:c r="E51" s="34" t="n">
        <x:v>150</x:v>
      </x:c>
      <x:c r="F51" s="36" t="n">
        <x:f>IF(AND(ISNUMBER(B51),ISNUMBER(E51)),ROUND(B51*E51,2),"Pending")</x:f>
        <x:v>150</x:v>
      </x:c>
      <x:c r="G51" s="40" t="str">
        <x:v>Required</x:v>
      </x:c>
      <x:c r="H51" s="40" t="str">
        <x:v>Estimate</x:v>
      </x:c>
      <x:c r="I51" s="40" t="str">
        <x:f>IF(G51="Optional","Deferred — unfunded",IF(F51=0,"User-funded (donated)",IF(AND('Sources and Funding'!E55&gt;0,'Sources and Funding'!F55&gt;0),"Split user / grant",IF(AND('Sources and Funding'!G55&gt;0,OR('Sources and Funding'!E55&gt;0,'Sources and Funding'!F55&gt;0)),"Part funded; see Sources",IF('Sources and Funding'!E55&gt;0,"User-funded",IF('Sources and Funding'!F55&gt;0,"Grant-funded","Funding needed"))))))</x:f>
        <x:v>Funding needed</x:v>
      </x:c>
    </x:row>
    <x:row r="52" ht="90" customHeight="1">
      <x:c r="A52" s="23" t="str">
        <x:v>B58 · Common battery-bank feeder protection / isolation</x:v>
      </x:c>
      <x:c r="B52" s="29" t="n">
        <x:v>1</x:v>
      </x:c>
      <x:c r="C52" s="30" t="str">
        <x:v>DC-02 P0-to-P1 bank feeder: overcurrent protection, service disconnect and covered mounting. Separate from individual battery fuses and inverter branch. Ratings and exact parts TBD. [Unit: assembly]</x:v>
      </x:c>
      <x:c r="D52" s="30" t="str">
        <x:v>DC switchgear supplier — selection pending</x:v>
      </x:c>
      <x:c r="E52" s="31" t="n">
        <x:v>250</x:v>
      </x:c>
      <x:c r="F52" s="35" t="n">
        <x:f>IF(AND(ISNUMBER(B52),ISNUMBER(E52)),ROUND(B52*E52,2),"Pending")</x:f>
        <x:v>250</x:v>
      </x:c>
      <x:c r="G52" s="39" t="str">
        <x:v>Required</x:v>
      </x:c>
      <x:c r="H52" s="39" t="str">
        <x:v>Estimate</x:v>
      </x:c>
      <x:c r="I52" s="39" t="str">
        <x:f>IF(G52="Optional","Deferred — unfunded",IF(F52=0,"User-funded (donated)",IF(AND('Sources and Funding'!E56&gt;0,'Sources and Funding'!F56&gt;0),"Split user / grant",IF(AND('Sources and Funding'!G56&gt;0,OR('Sources and Funding'!E56&gt;0,'Sources and Funding'!F56&gt;0)),"Part funded; see Sources",IF('Sources and Funding'!E56&gt;0,"User-funded",IF('Sources and Funding'!F56&gt;0,"Grant-funded","Funding needed"))))))</x:f>
        <x:v>Funding needed</x:v>
      </x:c>
    </x:row>
    <x:row r="53" ht="90" customHeight="1">
      <x:c r="A53" s="24" t="str">
        <x:v>B59 · Battery-combining junctions and service fittings</x:v>
      </x:c>
      <x:c r="B53" s="32" t="n">
        <x:v>1</x:v>
      </x:c>
      <x:c r="C53" s="33" t="str">
        <x:v>DC-02 P0 battery-positive and N0 battery-negative combining points, insulated covers and individual battery service-isolation fittings as required. Exact arrangement TBD. [Unit: lot]</x:v>
      </x:c>
      <x:c r="D53" s="33" t="str">
        <x:v>DC distribution supplier — selection pending</x:v>
      </x:c>
      <x:c r="E53" s="34" t="n">
        <x:v>150</x:v>
      </x:c>
      <x:c r="F53" s="36" t="n">
        <x:f>IF(AND(ISNUMBER(B53),ISNUMBER(E53)),ROUND(B53*E53,2),"Pending")</x:f>
        <x:v>150</x:v>
      </x:c>
      <x:c r="G53" s="40" t="str">
        <x:v>Required</x:v>
      </x:c>
      <x:c r="H53" s="40" t="str">
        <x:v>Estimate</x:v>
      </x:c>
      <x:c r="I53" s="40" t="str">
        <x:f>IF(G53="Optional","Deferred — unfunded",IF(F53=0,"User-funded (donated)",IF(AND('Sources and Funding'!E57&gt;0,'Sources and Funding'!F57&gt;0),"Split user / grant",IF(AND('Sources and Funding'!G57&gt;0,OR('Sources and Funding'!E57&gt;0,'Sources and Funding'!F57&gt;0)),"Part funded; see Sources",IF('Sources and Funding'!E57&gt;0,"User-funded",IF('Sources and Funding'!F57&gt;0,"Grant-funded","Funding needed"))))))</x:f>
        <x:v>Funding needed</x:v>
      </x:c>
    </x:row>
    <x:row r="54" ht="90" customHeight="1">
      <x:c r="A54" s="23" t="str">
        <x:v>B51 · Trailer title / registration / fees</x:v>
      </x:c>
      <x:c r="B54" s="29" t="n">
        <x:v>1</x:v>
      </x:c>
      <x:c r="C54" s="30" t="str">
        <x:v>Acquisition fee allowance; tax is budgeted separately. [Unit: lot]</x:v>
      </x:c>
      <x:c r="D54" s="30" t="str">
        <x:v>DMV / seller — actual fees pending</x:v>
      </x:c>
      <x:c r="E54" s="31" t="n">
        <x:v>250</x:v>
      </x:c>
      <x:c r="F54" s="35" t="n">
        <x:f>IF(AND(ISNUMBER(B54),ISNUMBER(E54)),ROUND(B54*E54,2),"Pending")</x:f>
        <x:v>250</x:v>
      </x:c>
      <x:c r="G54" s="39" t="str">
        <x:v>Required</x:v>
      </x:c>
      <x:c r="H54" s="39" t="str">
        <x:v>Estimate</x:v>
      </x:c>
      <x:c r="I54" s="39" t="str">
        <x:f>IF(G54="Optional","Deferred — unfunded",IF(F54=0,"User-funded (donated)",IF(AND('Sources and Funding'!E8&gt;0,'Sources and Funding'!F8&gt;0),"Split user / grant",IF(AND('Sources and Funding'!G8&gt;0,OR('Sources and Funding'!E8&gt;0,'Sources and Funding'!F8&gt;0)),"Part funded; see Sources",IF('Sources and Funding'!E8&gt;0,"User-funded",IF('Sources and Funding'!F8&gt;0,"Grant-funded","Funding needed"))))))</x:f>
        <x:v>User-funded</x:v>
      </x:c>
    </x:row>
    <x:row r="55" ht="90" customHeight="1">
      <x:c r="A55" s="24" t="str">
        <x:v>B52 · Delivery / local collection</x:v>
      </x:c>
      <x:c r="B55" s="32" t="n">
        <x:v>1</x:v>
      </x:c>
      <x:c r="C55" s="33" t="str">
        <x:v>Panels $300; battery/miscellaneous shipping $150; trailer/panel local collection $100. Avoid double counting included shipping. [Unit: lot]</x:v>
      </x:c>
      <x:c r="D55" s="33" t="str">
        <x:v>Carriers / owner collection</x:v>
      </x:c>
      <x:c r="E55" s="34" t="n">
        <x:v>550</x:v>
      </x:c>
      <x:c r="F55" s="36" t="n">
        <x:f>IF(AND(ISNUMBER(B55),ISNUMBER(E55)),ROUND(B55*E55,2),"Pending")</x:f>
        <x:v>550</x:v>
      </x:c>
      <x:c r="G55" s="40" t="str">
        <x:v>Required</x:v>
      </x:c>
      <x:c r="H55" s="40" t="str">
        <x:v>Estimate</x:v>
      </x:c>
      <x:c r="I55" s="40" t="str">
        <x:f>IF(G55="Optional","Deferred — unfunded",IF(F55=0,"User-funded (donated)",IF(AND('Sources and Funding'!E58&gt;0,'Sources and Funding'!F58&gt;0),"Split user / grant",IF(AND('Sources and Funding'!G58&gt;0,OR('Sources and Funding'!E58&gt;0,'Sources and Funding'!F58&gt;0)),"Part funded; see Sources",IF('Sources and Funding'!E58&gt;0,"User-funded",IF('Sources and Funding'!F58&gt;0,"Grant-funded","Funding needed"))))))</x:f>
        <x:v>Funding needed</x:v>
      </x:c>
    </x:row>
    <x:row r="56" ht="90" customHeight="1">
      <x:c r="A56" s="23" t="str">
        <x:v>B53 · Independent electrical / structural review</x:v>
      </x:c>
      <x:c r="B56" s="29" t="n">
        <x:v>1</x:v>
      </x:c>
      <x:c r="C56" s="30" t="str">
        <x:v>Paid specialist review allowance; owner fabrication and installation labor donated. [Unit: lot]</x:v>
      </x:c>
      <x:c r="D56" s="30" t="str">
        <x:v>Qualified reviewer — to select</x:v>
      </x:c>
      <x:c r="E56" s="31" t="n">
        <x:v>500</x:v>
      </x:c>
      <x:c r="F56" s="35" t="n">
        <x:f>IF(AND(ISNUMBER(B56),ISNUMBER(E56)),ROUND(B56*E56,2),"Pending")</x:f>
        <x:v>500</x:v>
      </x:c>
      <x:c r="G56" s="39" t="str">
        <x:v>Required</x:v>
      </x:c>
      <x:c r="H56" s="39" t="str">
        <x:v>Estimate</x:v>
      </x:c>
      <x:c r="I56" s="39" t="str">
        <x:f>IF(G56="Optional","Deferred — unfunded",IF(F56=0,"User-funded (donated)",IF(AND('Sources and Funding'!E9&gt;0,'Sources and Funding'!F9&gt;0),"Split user / grant",IF(AND('Sources and Funding'!G9&gt;0,OR('Sources and Funding'!E9&gt;0,'Sources and Funding'!F9&gt;0)),"Part funded; see Sources",IF('Sources and Funding'!E9&gt;0,"User-funded",IF('Sources and Funding'!F9&gt;0,"Grant-funded","Funding needed"))))))</x:f>
        <x:v>User-funded</x:v>
      </x:c>
    </x:row>
    <x:row r="57" ht="90" customHeight="1">
      <x:c r="A57" s="24" t="str">
        <x:v>B54 · Owner fabrication / installation labor</x:v>
      </x:c>
      <x:c r="B57" s="32" t="n">
        <x:v>1</x:v>
      </x:c>
      <x:c r="C57" s="33" t="str">
        <x:v>Owner labor donated; no hours or fair-market dollar valuation asserted. Existing owner tools supplied separately. [Unit: contribution]</x:v>
      </x:c>
      <x:c r="D57" s="33" t="str">
        <x:v>Owner</x:v>
      </x:c>
      <x:c r="E57" s="34" t="n">
        <x:v>0</x:v>
      </x:c>
      <x:c r="F57" s="36" t="n">
        <x:f>IF(AND(ISNUMBER(B57),ISNUMBER(E57)),ROUND(B57*E57,2),"Pending")</x:f>
        <x:v>0</x:v>
      </x:c>
      <x:c r="G57" s="40" t="str">
        <x:v>Required</x:v>
      </x:c>
      <x:c r="H57" s="40" t="str">
        <x:v>Estimate</x:v>
      </x:c>
      <x:c r="I57" s="40" t="str">
        <x:f>IF(G57="Optional","Deferred — unfunded",IF(F57=0,"User-funded (donated)",IF(AND('Sources and Funding'!E59&gt;0,'Sources and Funding'!F59&gt;0),"Split user / grant",IF(AND('Sources and Funding'!G59&gt;0,OR('Sources and Funding'!E59&gt;0,'Sources and Funding'!F59&gt;0)),"Part funded; see Sources",IF('Sources and Funding'!E59&gt;0,"User-funded",IF('Sources and Funding'!F59&gt;0,"Grant-funded","Funding needed"))))))</x:f>
        <x:v>User-funded (donated)</x:v>
      </x:c>
    </x:row>
    <x:row r="58" ht="90" customHeight="1">
      <x:c r="A58" s="23" t="str">
        <x:v>B55 · Sales / use tax estimate</x:v>
      </x:c>
      <x:c r="B58" s="29" t="n">
        <x:v>1</x:v>
      </x:c>
      <x:c r="C58" s="30" t="str">
        <x:v>Corona city rate 8.75% on required material purchases, including used equipment. Exact-address and invoice treatment to verify. [Unit: allowance]</x:v>
      </x:c>
      <x:c r="D58" s="30" t="str">
        <x:v>Tax allowance</x:v>
      </x:c>
      <x:c r="E58" s="37" t="n">
        <x:f>IF(COUNT(F8:F53)=ROWS(F8:F53),ROUND(SUM(F8:F53)*Summary!B27,2),"Pending")</x:f>
        <x:v>1207.32</x:v>
      </x:c>
      <x:c r="F58" s="35" t="n">
        <x:f>IF(AND(ISNUMBER(B58),ISNUMBER(E58)),ROUND(B58*E58,2),"Pending")</x:f>
        <x:v>1207.32</x:v>
      </x:c>
      <x:c r="G58" s="39" t="str">
        <x:v>Required</x:v>
      </x:c>
      <x:c r="H58" s="39" t="str">
        <x:v>Estimate</x:v>
      </x:c>
      <x:c r="I58" s="39" t="str">
        <x:f>IF(G58="Optional","Deferred — unfunded",IF(F58=0,"User-funded (donated)",IF(AND('Sources and Funding'!E10&gt;0,'Sources and Funding'!F10&gt;0),"Split user / grant",IF(AND('Sources and Funding'!G10&gt;0,OR('Sources and Funding'!E10&gt;0,'Sources and Funding'!F10&gt;0)),"Part funded; see Sources",IF('Sources and Funding'!E10&gt;0,"User-funded",IF('Sources and Funding'!F10&gt;0,"Grant-funded","Funding needed"))))))</x:f>
        <x:v>User-funded</x:v>
      </x:c>
    </x:row>
    <x:row r="59" ht="90" customHeight="1">
      <x:c r="A59" s="24" t="str">
        <x:v>B56 · Contingency reserve</x:v>
      </x:c>
      <x:c r="B59" s="32" t="n">
        <x:v>1</x:v>
      </x:c>
      <x:c r="C59" s="33" t="str">
        <x:v>7.5% of required materials, estimated tax, delivery, trailer fees and review. One reserve for price/scope changes, minor used-trailer repairs and conditional protection or integration. [Unit: allowance]</x:v>
      </x:c>
      <x:c r="D59" s="33" t="str">
        <x:v>Budget reserve</x:v>
      </x:c>
      <x:c r="E59" s="38" t="n">
        <x:f>IF(COUNT(F8:F58)=ROWS(F8:F58),ROUND(SUM(F8:F58)*Summary!B28,2),"Pending")</x:f>
        <x:v>1222.89</x:v>
      </x:c>
      <x:c r="F59" s="36" t="n">
        <x:f>IF(AND(ISNUMBER(B59),ISNUMBER(E59)),ROUND(B59*E59,2),"Pending")</x:f>
        <x:v>1222.89</x:v>
      </x:c>
      <x:c r="G59" s="40" t="str">
        <x:v>Required</x:v>
      </x:c>
      <x:c r="H59" s="40" t="str">
        <x:v>Estimate</x:v>
      </x:c>
      <x:c r="I59" s="40" t="str">
        <x:f>IF(G59="Optional","Deferred — unfunded",IF(F59=0,"User-funded (donated)",IF(AND('Sources and Funding'!E11&gt;0,'Sources and Funding'!F11&gt;0),"Split user / grant",IF(AND('Sources and Funding'!G11&gt;0,OR('Sources and Funding'!E11&gt;0,'Sources and Funding'!F11&gt;0)),"Part funded; see Sources",IF('Sources and Funding'!E11&gt;0,"User-funded",IF('Sources and Funding'!F11&gt;0,"Grant-funded","Funding needed"))))))</x:f>
        <x:v>User-funded</x:v>
      </x:c>
    </x:row>
    <x:row r="60" ht="90" customHeight="1">
      <x:c r="A60" s="23" t="str">
        <x:v>B40 · 30 A 120 V shore-power inlet and wiring</x:v>
      </x:c>
      <x:c r="B60" s="29" t="n">
        <x:v>1</x:v>
      </x:c>
      <x:c r="C60" s="30" t="str">
        <x:v>1 lot: 30 A 125 V shore inlet, compatible feeder and fittings. Neutral/ground transfer design required. [Unit: lot]</x:v>
      </x:c>
      <x:c r="D60" s="30" t="str">
        <x:v>RV / electrical supplier</x:v>
      </x:c>
      <x:c r="E60" s="31" t="n">
        <x:v>120</x:v>
      </x:c>
      <x:c r="F60" s="35" t="n">
        <x:f>IF(AND(ISNUMBER(B60),ISNUMBER(E60)),ROUND(B60*E60,2),"Pending")</x:f>
        <x:v>120</x:v>
      </x:c>
      <x:c r="G60" s="39" t="str">
        <x:v>Optional</x:v>
      </x:c>
      <x:c r="H60" s="39" t="str">
        <x:v>Estimate</x:v>
      </x:c>
      <x:c r="I60" s="39" t="str">
        <x:f>IF(G60="Optional","Deferred — unfunded",IF(F60=0,"User-funded (donated)",IF(AND('Sources and Funding'!E60&gt;0,'Sources and Funding'!F60&gt;0),"Split user / grant",IF(AND('Sources and Funding'!G60&gt;0,OR('Sources and Funding'!E60&gt;0,'Sources and Funding'!F60&gt;0)),"Part funded; see Sources",IF('Sources and Funding'!E60&gt;0,"User-funded",IF('Sources and Funding'!F60&gt;0,"Grant-funded","Funding needed"))))))</x:f>
        <x:v>Deferred — unfunded</x:v>
      </x:c>
    </x:row>
    <x:row r="61" ht="90" customHeight="1">
      <x:c r="A61" s="24" t="str">
        <x:v>B41 · Third SmartSolar MPPT 150/35</x:v>
      </x:c>
      <x:c r="B61" s="32" t="n">
        <x:v>1</x:v>
      </x:c>
      <x:c r="C61" s="33" t="str">
        <x:v>Victron SmartSolar MPPT 150/35; Optional separate left/right wing tracking instead of shared wing MPPT [Unit: ea]</x:v>
      </x:c>
      <x:c r="D61" s="33" t="str">
        <x:v>The Solar Store</x:v>
      </x:c>
      <x:c r="E61" s="34" t="n">
        <x:v>164.99</x:v>
      </x:c>
      <x:c r="F61" s="36" t="n">
        <x:f>IF(AND(ISNUMBER(B61),ISNUMBER(E61)),ROUND(B61*E61,2),"Pending")</x:f>
        <x:v>164.99</x:v>
      </x:c>
      <x:c r="G61" s="40" t="str">
        <x:v>Optional</x:v>
      </x:c>
      <x:c r="H61" s="40" t="str">
        <x:v>Confirmed price</x:v>
      </x:c>
      <x:c r="I61" s="40" t="str">
        <x:f>IF(G61="Optional","Deferred — unfunded",IF(F61=0,"User-funded (donated)",IF(AND('Sources and Funding'!E61&gt;0,'Sources and Funding'!F61&gt;0),"Split user / grant",IF(AND('Sources and Funding'!G61&gt;0,OR('Sources and Funding'!E61&gt;0,'Sources and Funding'!F61&gt;0)),"Part funded; see Sources",IF('Sources and Funding'!E61&gt;0,"User-funded",IF('Sources and Funding'!F61&gt;0,"Grant-funded","Funding needed"))))))</x:f>
        <x:v>Deferred — unfunded</x:v>
      </x:c>
    </x:row>
    <x:row r="62" ht="90" customHeight="1">
      <x:c r="A62" s="23" t="str">
        <x:v>B42 · Exterior LED sign / camp lighting package</x:v>
      </x:c>
      <x:c r="B62" s="29" t="n">
        <x:v>1</x:v>
      </x:c>
      <x:c r="C62" s="30" t="str">
        <x:v>1 lot: efficient LED project sign and pathway lights with protected supply; $150 source estimate. [Unit: lot]</x:v>
      </x:c>
      <x:c r="D62" s="30" t="str">
        <x:v>Lighting / electrical supplier</x:v>
      </x:c>
      <x:c r="E62" s="31" t="n">
        <x:v>150</x:v>
      </x:c>
      <x:c r="F62" s="35" t="n">
        <x:f>IF(AND(ISNUMBER(B62),ISNUMBER(E62)),ROUND(B62*E62,2),"Pending")</x:f>
        <x:v>150</x:v>
      </x:c>
      <x:c r="G62" s="39" t="str">
        <x:v>Optional</x:v>
      </x:c>
      <x:c r="H62" s="39" t="str">
        <x:v>Estimate</x:v>
      </x:c>
      <x:c r="I62" s="39" t="str">
        <x:f>IF(G62="Optional","Deferred — unfunded",IF(F62=0,"User-funded (donated)",IF(AND('Sources and Funding'!E62&gt;0,'Sources and Funding'!F62&gt;0),"Split user / grant",IF(AND('Sources and Funding'!G62&gt;0,OR('Sources and Funding'!E62&gt;0,'Sources and Funding'!F62&gt;0)),"Part funded; see Sources",IF('Sources and Funding'!E62&gt;0,"User-funded",IF('Sources and Funding'!F62&gt;0,"Grant-funded","Funding needed"))))))</x:f>
        <x:v>Deferred — unfunded</x:v>
      </x:c>
    </x:row>
    <x:row r="63" ht="90" customHeight="1">
      <x:c r="A63" s="24" t="str">
        <x:v>B43 · Ground-anchor / guy-line kit</x:v>
      </x:c>
      <x:c r="B63" s="32" t="n">
        <x:v>1</x:v>
      </x:c>
      <x:c r="C63" s="33" t="str">
        <x:v>1 lot: 4 anchors, 4 rated lines and tensioners; $80 source estimate. Ground suitability and loads need review. [Unit: lot]</x:v>
      </x:c>
      <x:c r="D63" s="33" t="str">
        <x:v>Rigging / hardware supplier</x:v>
      </x:c>
      <x:c r="E63" s="34" t="n">
        <x:v>80</x:v>
      </x:c>
      <x:c r="F63" s="36" t="n">
        <x:f>IF(AND(ISNUMBER(B63),ISNUMBER(E63)),ROUND(B63*E63,2),"Pending")</x:f>
        <x:v>80</x:v>
      </x:c>
      <x:c r="G63" s="40" t="str">
        <x:v>Optional</x:v>
      </x:c>
      <x:c r="H63" s="40" t="str">
        <x:v>Estimate</x:v>
      </x:c>
      <x:c r="I63" s="40" t="str">
        <x:f>IF(G63="Optional","Deferred — unfunded",IF(F63=0,"User-funded (donated)",IF(AND('Sources and Funding'!E63&gt;0,'Sources and Funding'!F63&gt;0),"Split user / grant",IF(AND('Sources and Funding'!G63&gt;0,OR('Sources and Funding'!E63&gt;0,'Sources and Funding'!F63&gt;0)),"Part funded; see Sources",IF('Sources and Funding'!E63&gt;0,"User-funded",IF('Sources and Funding'!F63&gt;0,"Grant-funded","Funding needed"))))))</x:f>
        <x:v>Deferred — unfunded</x:v>
      </x:c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</x:row>
    <x:row r="65" ht="40" customHeight="1">
      <x:c r="A65" s="5" t="str">
        <x:v>Budgeted specifications guide grant planning. Final cable, protection, mechanical sections and purchased used-equipment models require review before construction.</x:v>
      </x:c>
      <x:c r="B65" s="2"/>
      <x:c r="C65" s="2"/>
      <x:c r="D65" s="2"/>
      <x:c r="E65" s="2"/>
      <x:c r="F65" s="2"/>
      <x:c r="G65" s="2"/>
      <x:c r="H65" s="2"/>
      <x:c r="I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</x:row>
  </x:sheetData>
  <x:mergeCells>
    <x:mergeCell ref="A2:I2"/>
    <x:mergeCell ref="A3:I3"/>
    <x:mergeCell ref="A4:I4"/>
    <x:mergeCell ref="A65:I65"/>
  </x:mergeCells>
  <x:conditionalFormatting sqref="H8:H63">
    <x:cfRule type="containsText" dxfId="0" priority="1" operator="containsText" text="Estimate"/>
  </x:conditionalFormatting>
  <x:dataValidations count="2">
    <x:dataValidation type="list" sqref="G8:G63">
      <x:formula1>"Required,Optional"</x:formula1>
    </x:dataValidation>
    <x:dataValidation type="list" sqref="H8:H63">
      <x:formula1>"Confirmed price,Estimate"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e9a4eb06344787"/>
  </x:tableParts>
</x:worksheet>
</file>

<file path=xl/worksheets/sheet3.xml><?xml version="1.0" encoding="utf-8"?>
<x:worksheet xmlns:x="http://schemas.openxmlformats.org/spreadsheetml/2006/main">
  <x:sheetPr>
    <x:tabColor rgb="FF007F80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5.630001068115234" hidden="0" customWidth="1"/>
    <x:col min="2" max="2" width="53.75" hidden="0" customWidth="1"/>
    <x:col min="3" max="3" width="62.5" hidden="0" customWidth="1"/>
    <x:col min="4" max="4" width="53.130001068115234" hidden="0" customWidth="1"/>
    <x:col min="5" max="5" width="16.8799991607666" hidden="0" customWidth="1"/>
    <x:col min="6" max="6" width="16.8799991607666" hidden="0" customWidth="1"/>
    <x:col min="7" max="7" width="17.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6" customHeight="1">
      <x:c r="A2" s="3" t="str">
        <x:v>Sources, assumptions and funding allocation</x:v>
      </x:c>
      <x:c r="B2" s="2"/>
      <x:c r="C2" s="2"/>
      <x:c r="D2" s="2"/>
      <x:c r="E2" s="2"/>
      <x:c r="F2" s="2"/>
      <x:c r="G2" s="2"/>
    </x:row>
    <x:row r="3" ht="40" customHeight="1">
      <x:c r="A3" s="5" t="str">
        <x:v>Price evidence checked 17 Sep 2026. Funding order: owner fees/review/tax/contingency first, then hardware; grant equipment/delivery next. Remaining required costs stay visibly unfunded.</x:v>
      </x:c>
      <x:c r="B3" s="2"/>
      <x:c r="C3" s="2"/>
      <x:c r="D3" s="2"/>
      <x:c r="E3" s="2"/>
      <x:c r="F3" s="2"/>
      <x:c r="G3" s="2"/>
    </x:row>
    <x:row r="4" ht="40" customHeight="1">
      <x:c r="A4" s="5" t="str">
        <x:v>Source IDs match Grant BOM. User allocation is committed cash; grant allocation is requested only. Optional extras and donated labor have no required cash allocation.</x:v>
      </x:c>
      <x:c r="B4" s="2"/>
      <x:c r="C4" s="2"/>
      <x:c r="D4" s="2"/>
      <x:c r="E4" s="2"/>
      <x:c r="F4" s="2"/>
      <x:c r="G4" s="2"/>
    </x:row>
    <x:row r="5" ht="26" customHeight="1">
      <x:c r="A5" s="2"/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2" customHeight="1">
      <x:c r="A7" s="8" t="str">
        <x:v>Item / source ID</x:v>
      </x:c>
      <x:c r="B7" s="8" t="str">
        <x:v>Price source</x:v>
      </x:c>
      <x:c r="C7" s="8" t="str">
        <x:v>Price basis / provenance</x:v>
      </x:c>
      <x:c r="D7" s="8" t="str">
        <x:v>Review notes</x:v>
      </x:c>
      <x:c r="E7" s="8" t="str">
        <x:v>User-funded cash</x:v>
      </x:c>
      <x:c r="F7" s="8" t="str">
        <x:v>Grant-funded request</x:v>
      </x:c>
      <x:c r="G7" s="8" t="str">
        <x:v>Funding needed</x:v>
      </x:c>
    </x:row>
    <x:row r="8" ht="125" customHeight="1">
      <x:c r="A8" s="23" t="str">
        <x:v>B51 · Trailer title / registration / fees</x:v>
      </x:c>
      <x:c r="B8" s="23" t="str">
        <x:v>Planning allowance; see price basis</x:v>
      </x:c>
      <x:c r="C8" s="23" t="str">
        <x:v>Restores v05 $250 fee allowance; not a calculated DMV quote.</x:v>
      </x:c>
      <x:c r="D8" s="23" t="str">
        <x:v>Final invoice, quantity and installation requirements to verify.</x:v>
      </x:c>
      <x:c r="E8" s="37" t="n">
        <x:f>IF(AND('Grant BOM'!G54="Required",ISNUMBER('Grant BOM'!F54)),MIN('Grant BOM'!F54,MAX(0,Summary!B24-0)),0)</x:f>
        <x:v>250</x:v>
      </x:c>
      <x:c r="F8" s="37" t="n">
        <x:f>0</x:f>
        <x:v>0</x:v>
      </x:c>
      <x:c r="G8" s="37" t="n">
        <x:f>IF(AND('Grant BOM'!G54="Required",ISNUMBER('Grant BOM'!F54)),MAX(0,'Grant BOM'!F54-E8-F8),0)</x:f>
        <x:v>0</x:v>
      </x:c>
    </x:row>
    <x:row r="9" ht="125" customHeight="1">
      <x:c r="A9" s="24" t="str">
        <x:v>B53 · Independent electrical / structural review</x:v>
      </x:c>
      <x:c r="B9" s="24" t="str">
        <x:v>Planning allowance; see price basis</x:v>
      </x:c>
      <x:c r="C9" s="24" t="str">
        <x:v>$500 retained source allowance; review scope/quote pending. Allocate to user cash because grant excludes personal compensation.</x:v>
      </x:c>
      <x:c r="D9" s="24" t="str">
        <x:v>Final invoice, quantity and installation requirements to verify.</x:v>
      </x:c>
      <x:c r="E9" s="38" t="n">
        <x:f>IF(AND('Grant BOM'!G56="Required",ISNUMBER('Grant BOM'!F56)),MIN('Grant BOM'!F56,MAX(0,Summary!B24-SUM(E$8:E8))),0)</x:f>
        <x:v>500</x:v>
      </x:c>
      <x:c r="F9" s="38" t="n">
        <x:f>0</x:f>
        <x:v>0</x:v>
      </x:c>
      <x:c r="G9" s="38" t="n">
        <x:f>IF(AND('Grant BOM'!G56="Required",ISNUMBER('Grant BOM'!F56)),MAX(0,'Grant BOM'!F56-E9-F9),0)</x:f>
        <x:v>0</x:v>
      </x:c>
    </x:row>
    <x:row r="10" ht="125" customHeight="1">
      <x:c r="A10" s="23" t="str">
        <x:v>B55 · Sales / use tax estimate</x:v>
      </x:c>
      <x:c r="B10" s="23" t="str">
        <x:v>https://cdtfa.ca.gov/taxes-and-fees/rates.aspx</x:v>
      </x:c>
      <x:c r="C10" s="23" t="str">
        <x:v>CDTFA city rate checked 17 Sep 2026. Applied as a planning assumption to materials only; separately stated delivery, review and fees excluded.</x:v>
      </x:c>
      <x:c r="D10" s="23" t="str">
        <x:v>A ZIP code alone does not establish every tax jurisdiction. Rate and taxable delivery/fees may change; contingency covers limited variance.</x:v>
      </x:c>
      <x:c r="E10" s="37" t="n">
        <x:f>IF(AND('Grant BOM'!G58="Required",ISNUMBER('Grant BOM'!F58)),MIN('Grant BOM'!F58,MAX(0,Summary!B24-SUM(E$8:E9))),0)</x:f>
        <x:v>1207.32</x:v>
      </x:c>
      <x:c r="F10" s="37" t="n">
        <x:f>0</x:f>
        <x:v>0</x:v>
      </x:c>
      <x:c r="G10" s="37" t="n">
        <x:f>IF(AND('Grant BOM'!G58="Required",ISNUMBER('Grant BOM'!F58)),MAX(0,'Grant BOM'!F58-E10-F10),0)</x:f>
        <x:v>0</x:v>
      </x:c>
    </x:row>
    <x:row r="11" ht="125" customHeight="1">
      <x:c r="A11" s="24" t="str">
        <x:v>B56 · Contingency reserve</x:v>
      </x:c>
      <x:c r="B11" s="24" t="str">
        <x:v>Open_Solar_Trailer_BOM_v06.xlsx — Summary!E9</x:v>
      </x:c>
      <x:c r="C11" s="24" t="str">
        <x:v>Retains supplied 7.5% planning contingency. Separate $600 protection, $200 integration and $300 repair reserves removed to avoid stacking unconfirmed exposures.</x:v>
      </x:c>
      <x:c r="D11" s="24" t="str">
        <x:v>These requirements are unresolved, not waived. If actual changes exceed this reserve, revise the budget before purchasing. No grant eligibility assumed.</x:v>
      </x:c>
      <x:c r="E11" s="38" t="n">
        <x:f>IF(AND('Grant BOM'!G59="Required",ISNUMBER('Grant BOM'!F59)),MIN('Grant BOM'!F59,MAX(0,Summary!B24-SUM(E$8:E10))),0)</x:f>
        <x:v>1222.89</x:v>
      </x:c>
      <x:c r="F11" s="38" t="n">
        <x:f>0</x:f>
        <x:v>0</x:v>
      </x:c>
      <x:c r="G11" s="38" t="n">
        <x:f>IF(AND('Grant BOM'!G59="Required",ISNUMBER('Grant BOM'!F59)),MAX(0,'Grant BOM'!F59-E11-F11),0)</x:f>
        <x:v>0</x:v>
      </x:c>
    </x:row>
    <x:row r="12" ht="125" customHeight="1">
      <x:c r="A12" s="23" t="str">
        <x:v>B01 · Used enclosed cargo trailer</x:v>
      </x:c>
      <x:c r="B12" s="23" t="str">
        <x:v>https://www.trailershopper.com/16-x-7-foot-cargo-trailer-with-back-doors-ITM-80638</x:v>
      </x:c>
      <x:c r="C12" s="23" t="str">
        <x:v>Assistant planning estimate. Regional comparison: used Aztec 7 × 16 listed at $3,500 in Las Vegas, but rear doors do not establish a suitable ramp. No qualifying local trailer or purchase price confirmed.</x:v>
      </x:c>
      <x:c r="D12" s="23" t="str">
        <x:v>User requested secondhand sourcing. Reject the original $4,199 Carson car-hauler reference as evidence for an enclosed trailer. Confirm title, payload, roof/wall framing, ramp, tires/brakes and side-door clearance.</x:v>
      </x:c>
      <x:c r="E12" s="37" t="n">
        <x:f>IF(AND('Grant BOM'!G8="Required",ISNUMBER('Grant BOM'!F8)),MIN('Grant BOM'!F8,MAX(0,Summary!B24-SUM(E$8:E11))),0)</x:f>
        <x:v>2819.79</x:v>
      </x:c>
      <x:c r="F12" s="37" t="n">
        <x:f>IF(AND('Grant BOM'!G8="Required",ISNUMBER('Grant BOM'!F8)),MIN(MAX(0,'Grant BOM'!F8-E12),MAX(0,MIN(Summary!B25,Summary!B26)-SUM(F$8:F11))),0)</x:f>
        <x:v>680.21</x:v>
      </x:c>
      <x:c r="G12" s="37" t="n">
        <x:f>IF(AND('Grant BOM'!G8="Required",ISNUMBER('Grant BOM'!F8)),MAX(0,'Grant BOM'!F8-E12-F12),0)</x:f>
        <x:v>0</x:v>
      </x:c>
    </x:row>
    <x:row r="13" ht="125" customHeight="1">
      <x:c r="A13" s="24" t="str">
        <x:v>B02 · Used / surplus matched solar modules</x:v>
      </x:c>
      <x:c r="B13" s="24" t="str">
        <x:v>https://ussolarsupplier.com/products/trina-445w-vertex-s-i-topcon-bifacial-n-type-all-black-solar-panel-tsm-neg9rc-27</x:v>
      </x:c>
      <x:c r="C13" s="24" t="str">
        <x:v>Assistant used/surplus purchasing target of $120 each, not a verified offer. New Trina 445 W fallback is $169.99 each; minimum order 8; freight extra.</x:v>
      </x:c>
      <x:c r="D13" s="24" t="str">
        <x:v>No used savings treated as confirmed. Check nameplate, condition, measured output, matching connectors, cold 2-panel Voc, hot Vmp and fit. Preserve approximately 3.6 kW target; do not substitute lower wattage silently.</x:v>
      </x:c>
      <x:c r="E13" s="38" t="n">
        <x:f>IF(AND('Grant BOM'!G9="Required",ISNUMBER('Grant BOM'!F9)),MIN('Grant BOM'!F9,MAX(0,Summary!B24-SUM(E$8:E12))),0)</x:f>
        <x:v>0</x:v>
      </x:c>
      <x:c r="F13" s="38" t="n">
        <x:f>IF(AND('Grant BOM'!G9="Required",ISNUMBER('Grant BOM'!F9)),MIN(MAX(0,'Grant BOM'!F9-E13),MAX(0,MIN(Summary!B25,Summary!B26)-SUM(F$8:F12))),0)</x:f>
        <x:v>960</x:v>
      </x:c>
      <x:c r="G13" s="38" t="n">
        <x:f>IF(AND('Grant BOM'!G9="Required",ISNUMBER('Grant BOM'!F9)),MAX(0,'Grant BOM'!F9-E13-F13),0)</x:f>
        <x:v>0</x:v>
      </x:c>
    </x:row>
    <x:row r="14" ht="125" customHeight="1">
      <x:c r="A14" s="23" t="str">
        <x:v>B03 · Inverter / charger</x:v>
      </x:c>
      <x:c r="B14" s="23" t="str">
        <x:v>https://www.vanlifeoutfitters.com/products/victron-energy-multiplus-ii-48-5000-70-inverter-charger-48-volt</x:v>
      </x:c>
      <x:c r="C14" s="23" t="str">
        <x:v>Advertised unit price checked 17 Sep 2026; tax and delivery excluded.</x:v>
      </x:c>
      <x:c r="D14" s="23" t="str">
        <x:v>Owner-selected DC-02 baseline. Separate roof and wing MPPTs are required. Approve Eco-Worthy charge limits and coordinated shutdown; no closed-loop BMS compatibility assumed. Shared AC distribution remains limited by its 30 A main.</x:v>
      </x:c>
      <x:c r="E14" s="37" t="n">
        <x:f>IF(AND('Grant BOM'!G10="Required",ISNUMBER('Grant BOM'!F10)),MIN('Grant BOM'!F10,MAX(0,Summary!B24-SUM(E$8:E13))),0)</x:f>
        <x:v>0</x:v>
      </x:c>
      <x:c r="F14" s="37" t="n">
        <x:f>IF(AND('Grant BOM'!G10="Required",ISNUMBER('Grant BOM'!F10)),MIN(MAX(0,'Grant BOM'!F10-E14),MAX(0,MIN(Summary!B25,Summary!B26)-SUM(F$8:F13))),0)</x:f>
        <x:v>1458.6</x:v>
      </x:c>
      <x:c r="G14" s="37" t="n">
        <x:f>IF(AND('Grant BOM'!G10="Required",ISNUMBER('Grant BOM'!F10)),MAX(0,'Grant BOM'!F10-E14-F14),0)</x:f>
        <x:v>0</x:v>
      </x:c>
    </x:row>
    <x:row r="15" ht="125" customHeight="1">
      <x:c r="A15" s="24" t="str">
        <x:v>B04 · Roof and shared wing MPPTs</x:v>
      </x:c>
      <x:c r="B15" s="24" t="str">
        <x:v>https://thesolarstore.com/products/victron-energy-smart-solar-150-35-mppt-charge-controller</x:v>
      </x:c>
      <x:c r="C15" s="24" t="str">
        <x:v>Advertised unit price checked 17 Sep 2026; tax and delivery excluded.</x:v>
      </x:c>
      <x:c r="D15" s="24" t="str">
        <x:v>One external controller for roof 2S2P; one for both wing strings combined in parallel. Independent wing deployment does not mean independent trackers. Confirm cold Voc, hot Vmp and aggregate charge limits.</x:v>
      </x:c>
      <x:c r="E15" s="38" t="n">
        <x:f>IF(AND('Grant BOM'!G11="Required",ISNUMBER('Grant BOM'!F11)),MIN('Grant BOM'!F11,MAX(0,Summary!B24-SUM(E$8:E14))),0)</x:f>
        <x:v>0</x:v>
      </x:c>
      <x:c r="F15" s="38" t="n">
        <x:f>IF(AND('Grant BOM'!G11="Required",ISNUMBER('Grant BOM'!F11)),MIN(MAX(0,'Grant BOM'!F11-E15),MAX(0,MIN(Summary!B25,Summary!B26)-SUM(F$8:F14))),0)</x:f>
        <x:v>329.98</x:v>
      </x:c>
      <x:c r="G15" s="38" t="n">
        <x:f>IF(AND('Grant BOM'!G11="Required",ISNUMBER('Grant BOM'!F11)),MAX(0,'Grant BOM'!F11-E15-F15),0)</x:f>
        <x:v>0</x:v>
      </x:c>
    </x:row>
    <x:row r="16" ht="125" customHeight="1">
      <x:c r="A16" s="23" t="str">
        <x:v>B05 · 51.2 V 100 Ah LiFePO4 rack battery</x:v>
      </x:c>
      <x:c r="B16" s="23" t="str">
        <x:v>https://shopsolarkits.com/products/eco-worthy-server-rack-battery</x:v>
      </x:c>
      <x:c r="C16" s="23" t="str">
        <x:v>Advertised unit price checked 17 Sep 2026; tax and delivery excluded.</x:v>
      </x:c>
      <x:c r="D16" s="23" t="str">
        <x:v>Confirm V2/V3 variant, BMS current limits, low-temperature cutoff and coordinated Victron charge/shutdown settings. Assess two 35 A MPPTs plus up to 70 A shore charging together and operation with one battery unavailable. Bank is 10.24 kWh nominal.</x:v>
      </x:c>
      <x:c r="E16" s="37" t="n">
        <x:f>IF(AND('Grant BOM'!G12="Required",ISNUMBER('Grant BOM'!F12)),MIN('Grant BOM'!F12,MAX(0,Summary!B24-SUM(E$8:E15))),0)</x:f>
        <x:v>0</x:v>
      </x:c>
      <x:c r="F16" s="37" t="n">
        <x:f>IF(AND('Grant BOM'!G12="Required",ISNUMBER('Grant BOM'!F12)),MIN(MAX(0,'Grant BOM'!F12-E16),MAX(0,MIN(Summary!B25,Summary!B26)-SUM(F$8:F15))),0)</x:f>
        <x:v>1778</x:v>
      </x:c>
      <x:c r="G16" s="37" t="n">
        <x:f>IF(AND('Grant BOM'!G12="Required",ISNUMBER('Grant BOM'!F12)),MAX(0,'Grant BOM'!F12-E16-F16),0)</x:f>
        <x:v>0</x:v>
      </x:c>
    </x:row>
    <x:row r="17" ht="125" customHeight="1">
      <x:c r="A17" s="24" t="str">
        <x:v>B06 · Roof PV-rated disconnect</x:v>
      </x:c>
      <x:c r="B17" s="24" t="str">
        <x:v>https://www.victronenergy.com/media/pg/Manual_SmartSolar_MPPT_150-35__150-45/en/installation.html</x:v>
      </x:c>
      <x:c r="C17" s="24" t="str">
        <x:v>Retained $90 assembly allowance. Roof 2S2P combined current must be assessed separately from each wing string; exact part not selected.</x:v>
      </x:c>
      <x:c r="D17" s="24" t="str">
        <x:v>Disconnect both PV conductors. Check pole wiring, DC voltage/current rating and enclosure. PV isolation does not replace controller battery-feed protection.</x:v>
      </x:c>
      <x:c r="E17" s="38" t="n">
        <x:f>IF(AND('Grant BOM'!G13="Required",ISNUMBER('Grant BOM'!F13)),MIN('Grant BOM'!F13,MAX(0,Summary!B24-SUM(E$8:E16))),0)</x:f>
        <x:v>0</x:v>
      </x:c>
      <x:c r="F17" s="38" t="n">
        <x:f>IF(AND('Grant BOM'!G13="Required",ISNUMBER('Grant BOM'!F13)),MIN(MAX(0,'Grant BOM'!F13-E17),MAX(0,MIN(Summary!B25,Summary!B26)-SUM(F$8:F16))),0)</x:f>
        <x:v>90</x:v>
      </x:c>
      <x:c r="G17" s="38" t="n">
        <x:f>IF(AND('Grant BOM'!G13="Required",ISNUMBER('Grant BOM'!F13)),MAX(0,'Grant BOM'!F13-E17-F17),0)</x:f>
        <x:v>0</x:v>
      </x:c>
    </x:row>
    <x:row r="18" ht="125" customHeight="1">
      <x:c r="A18" s="23" t="str">
        <x:v>B07 · Wing branch PV-rated disconnect</x:v>
      </x:c>
      <x:c r="B18" s="23" t="str">
        <x:v>https://www.ecodirect.com/IMO-Rapid-Shutdown-Switch-IP66-32A-600VDC-p/imo-si32-pel64r-4.htm</x:v>
      </x:c>
      <x:c r="C18" s="23" t="str">
        <x:v>Advertised unit price checked 17 Sep 2026; tax and delivery excluded.</x:v>
      </x:c>
      <x:c r="D18" s="23" t="str">
        <x:v>Allows either side to be isolated while the other remains online.</x:v>
      </x:c>
      <x:c r="E18" s="37" t="n">
        <x:f>IF(AND('Grant BOM'!G14="Required",ISNUMBER('Grant BOM'!F14)),MIN('Grant BOM'!F14,MAX(0,Summary!B24-SUM(E$8:E17))),0)</x:f>
        <x:v>0</x:v>
      </x:c>
      <x:c r="F18" s="37" t="n">
        <x:f>IF(AND('Grant BOM'!G14="Required",ISNUMBER('Grant BOM'!F14)),MIN(MAX(0,'Grant BOM'!F14-E18),MAX(0,MIN(Summary!B25,Summary!B26)-SUM(F$8:F17))),0)</x:f>
        <x:v>178</x:v>
      </x:c>
      <x:c r="G18" s="37" t="n">
        <x:f>IF(AND('Grant BOM'!G14="Required",ISNUMBER('Grant BOM'!F14)),MAX(0,'Grant BOM'!F14-E18-F18),0)</x:f>
        <x:v>0</x:v>
      </x:c>
    </x:row>
    <x:row r="19" ht="125" customHeight="1">
      <x:c r="A19" s="24" t="str">
        <x:v>B08 · Roof and wing combiner enclosures</x:v>
      </x:c>
      <x:c r="B19" s="24" t="str">
        <x:v>https://www.solar-electric.com/mnpv3.html</x:v>
      </x:c>
      <x:c r="C19" s="24" t="str">
        <x:v>Advertised unit price checked 17 Sep 2026; tax and delivery excluded.</x:v>
      </x:c>
      <x:c r="D19" s="24" t="str">
        <x:v>Adds roof combining omitted from source. Maintain independent wing isolation before common wing MPPT.</x:v>
      </x:c>
      <x:c r="E19" s="38" t="n">
        <x:f>IF(AND('Grant BOM'!G15="Required",ISNUMBER('Grant BOM'!F15)),MIN('Grant BOM'!F15,MAX(0,Summary!B24-SUM(E$8:E18))),0)</x:f>
        <x:v>0</x:v>
      </x:c>
      <x:c r="F19" s="38" t="n">
        <x:f>IF(AND('Grant BOM'!G15="Required",ISNUMBER('Grant BOM'!F15)),MIN(MAX(0,'Grant BOM'!F15-E19),MAX(0,MIN(Summary!B25,Summary!B26)-SUM(F$8:F18))),0)</x:f>
        <x:v>187.56</x:v>
      </x:c>
      <x:c r="G19" s="38" t="n">
        <x:f>IF(AND('Grant BOM'!G15="Required",ISNUMBER('Grant BOM'!F15)),MAX(0,'Grant BOM'!F15-E19-F19),0)</x:f>
        <x:v>0</x:v>
      </x:c>
    </x:row>
    <x:row r="20" ht="125" customHeight="1">
      <x:c r="A20" s="23" t="str">
        <x:v>B09 · 10 AWG PV wire</x:v>
      </x:c>
      <x:c r="B20" s="23" t="str">
        <x:v>https://temcoindustrial.com/electrical/wire/solar-cable/?price_max=90&amp;price_min=0&amp;sort=bestselling</x:v>
      </x:c>
      <x:c r="C20" s="23" t="str">
        <x:v>Advertised unit price checked 17 Sep 2026; tax and delivery excluded.</x:v>
      </x:c>
      <x:c r="D20" s="23" t="str">
        <x:v>Length is preliminary.</x:v>
      </x:c>
      <x:c r="E20" s="37" t="n">
        <x:f>IF(AND('Grant BOM'!G16="Required",ISNUMBER('Grant BOM'!F16)),MIN('Grant BOM'!F16,MAX(0,Summary!B24-SUM(E$8:E19))),0)</x:f>
        <x:v>0</x:v>
      </x:c>
      <x:c r="F20" s="37" t="n">
        <x:f>IF(AND('Grant BOM'!G16="Required",ISNUMBER('Grant BOM'!F16)),MIN(MAX(0,'Grant BOM'!F16-E20),MAX(0,MIN(Summary!B25,Summary!B26)-SUM(F$8:F19))),0)</x:f>
        <x:v>129.52</x:v>
      </x:c>
      <x:c r="G20" s="37" t="n">
        <x:f>IF(AND('Grant BOM'!G16="Required",ISNUMBER('Grant BOM'!F16)),MAX(0,'Grant BOM'!F16-E20-F20),0)</x:f>
        <x:v>0</x:v>
      </x:c>
    </x:row>
    <x:row r="21" ht="125" customHeight="1">
      <x:c r="A21" s="24" t="str">
        <x:v>B10 · MC4 connectors, branch connectors, glands, loom</x:v>
      </x:c>
      <x:c r="B21" s="24" t="str">
        <x:v>Owner-supplied v06 BOM row 11</x:v>
      </x:c>
      <x:c r="C21" s="24" t="str">
        <x:v>Supplied v06 BOM row 11; retained planning allowance, not a vendor quote.</x:v>
      </x:c>
      <x:c r="D21" s="24" t="str">
        <x:v>$120 retained estimate; connector family must match selected modules. Combining occurs in listed enclosures, not duplicate branch connectors.</x:v>
      </x:c>
      <x:c r="E21" s="38" t="n">
        <x:f>IF(AND('Grant BOM'!G17="Required",ISNUMBER('Grant BOM'!F17)),MIN('Grant BOM'!F17,MAX(0,Summary!B24-SUM(E$8:E20))),0)</x:f>
        <x:v>0</x:v>
      </x:c>
      <x:c r="F21" s="38" t="n">
        <x:f>IF(AND('Grant BOM'!G17="Required",ISNUMBER('Grant BOM'!F17)),MIN(MAX(0,'Grant BOM'!F17-E21),MAX(0,MIN(Summary!B25,Summary!B26)-SUM(F$8:F20))),0)</x:f>
        <x:v>120</x:v>
      </x:c>
      <x:c r="G21" s="38" t="n">
        <x:f>IF(AND('Grant BOM'!G17="Required",ISNUMBER('Grant BOM'!F17)),MAX(0,'Grant BOM'!F17-E21-F21),0)</x:f>
        <x:v>0</x:v>
      </x:c>
    </x:row>
    <x:row r="22" ht="125" customHeight="1">
      <x:c r="A22" s="23" t="str">
        <x:v>B11 · MPPT output DC breaker / fuse</x:v>
      </x:c>
      <x:c r="B22" s="23" t="str">
        <x:v>https://solampio.com/MNEPV20-150-1PNP/</x:v>
      </x:c>
      <x:c r="C22" s="23" t="str">
        <x:v>Advertised unit price checked 17 Sep 2026; tax and delivery excluded.</x:v>
      </x:c>
      <x:c r="D22" s="23" t="str">
        <x:v>One 40 A non-polarized device per external MPPT battery feed; enclosure allowance in B14. Victron 150/35 manual specifies 40–45 A battery fusing; reviewer must approve breaker equivalence and placement.</x:v>
      </x:c>
      <x:c r="E22" s="37" t="n">
        <x:f>IF(AND('Grant BOM'!G18="Required",ISNUMBER('Grant BOM'!F18)),MIN('Grant BOM'!F18,MAX(0,Summary!B24-SUM(E$8:E21))),0)</x:f>
        <x:v>0</x:v>
      </x:c>
      <x:c r="F22" s="37" t="n">
        <x:f>IF(AND('Grant BOM'!G18="Required",ISNUMBER('Grant BOM'!F18)),MIN(MAX(0,'Grant BOM'!F18-E22),MAX(0,MIN(Summary!B25,Summary!B26)-SUM(F$8:F21))),0)</x:f>
        <x:v>52</x:v>
      </x:c>
      <x:c r="G22" s="37" t="n">
        <x:f>IF(AND('Grant BOM'!G18="Required",ISNUMBER('Grant BOM'!F18)),MAX(0,'Grant BOM'!F18-E22-F22),0)</x:f>
        <x:v>0</x:v>
      </x:c>
    </x:row>
    <x:row r="23" ht="125" customHeight="1">
      <x:c r="A23" s="24" t="str">
        <x:v>B12 · Class-T battery fuse + holder</x:v>
      </x:c>
      <x:c r="B23" s="24" t="str">
        <x:v>https://www.electricalhub.com/blue-sea-5113-5113-class-t-fuses</x:v>
      </x:c>
      <x:c r="C23" s="24" t="str">
        <x:v>Published component prices $49.51 + $72.31 = $121.82 per set. Holder: https://www.imarineusa.com/BlueSeaSystems5007100.aspx . Checked 17 Sep 2026.</x:v>
      </x:c>
      <x:c r="D23" s="24" t="str">
        <x:v>Budget reference; final fuse/interrupt rating, battery fault-current and cable coordination require electrical review.</x:v>
      </x:c>
      <x:c r="E23" s="38" t="n">
        <x:f>IF(AND('Grant BOM'!G19="Required",ISNUMBER('Grant BOM'!F19)),MIN('Grant BOM'!F19,MAX(0,Summary!B24-SUM(E$8:E22))),0)</x:f>
        <x:v>0</x:v>
      </x:c>
      <x:c r="F23" s="38" t="n">
        <x:f>IF(AND('Grant BOM'!G19="Required",ISNUMBER('Grant BOM'!F19)),MIN(MAX(0,'Grant BOM'!F19-E23),MAX(0,MIN(Summary!B25,Summary!B26)-SUM(F$8:F22))),0)</x:f>
        <x:v>243.64</x:v>
      </x:c>
      <x:c r="G23" s="38" t="n">
        <x:f>IF(AND('Grant BOM'!G19="Required",ISNUMBER('Grant BOM'!F19)),MAX(0,'Grant BOM'!F19-E23-F23),0)</x:f>
        <x:v>0</x:v>
      </x:c>
    </x:row>
    <x:row r="24" ht="125" customHeight="1">
      <x:c r="A24" s="23" t="str">
        <x:v>B13 · Positive / negative covered busbars</x:v>
      </x:c>
      <x:c r="B24" s="23" t="str">
        <x:v>https://invertersrus.com/product/ve-busbar-250a-6p/</x:v>
      </x:c>
      <x:c r="C24" s="23" t="str">
        <x:v>Advertised unit price checked 17 Sep 2026; tax and delivery excluded.</x:v>
      </x:c>
      <x:c r="D24" s="23" t="str">
        <x:v>All charger/load returns connect at N1 on SYSTEM MINUS side of shunt. Verify current/voltage ratings and every termination. These two bars do not also represent isolated P0/N0 nodes.</x:v>
      </x:c>
      <x:c r="E24" s="37" t="n">
        <x:f>IF(AND('Grant BOM'!G20="Required",ISNUMBER('Grant BOM'!F20)),MIN('Grant BOM'!F20,MAX(0,Summary!B24-SUM(E$8:E23))),0)</x:f>
        <x:v>0</x:v>
      </x:c>
      <x:c r="F24" s="37" t="n">
        <x:f>IF(AND('Grant BOM'!G20="Required",ISNUMBER('Grant BOM'!F20)),MIN(MAX(0,'Grant BOM'!F20-E24),MAX(0,MIN(Summary!B25,Summary!B26)-SUM(F$8:F23))),0)</x:f>
        <x:v>136</x:v>
      </x:c>
      <x:c r="G24" s="37" t="n">
        <x:f>IF(AND('Grant BOM'!G20="Required",ISNUMBER('Grant BOM'!F20)),MAX(0,'Grant BOM'!F20-E24-F24),0)</x:f>
        <x:v>0</x:v>
      </x:c>
    </x:row>
    <x:row r="25" ht="125" customHeight="1">
      <x:c r="A25" s="24" t="str">
        <x:v>B14 · Inverter branch protection and DC enclosures</x:v>
      </x:c>
      <x:c r="B25" s="24" t="str">
        <x:v>https://www.victronenergy.com/media/pg/MultiPlus-II_120V/en/installation.html</x:v>
      </x:c>
      <x:c r="C25" s="24" t="str">
        <x:v>Assistant planning allowance: fuse/holder $140 + disconnect $60 + enclosure/DIN fittings $50. Replaces the Renogy 160 A assembly; not a supplier quote.</x:v>
      </x:c>
      <x:c r="D25" s="24" t="str">
        <x:v>B14 covers inverter branch only; common bank feeder is B58. Final voltage, interrupt capacity, cable coordination and device order require review. A 48 V nominal label alone is insufficient for a fully charged 51.2 V bank.</x:v>
      </x:c>
      <x:c r="E25" s="38" t="n">
        <x:f>IF(AND('Grant BOM'!G21="Required",ISNUMBER('Grant BOM'!F21)),MIN('Grant BOM'!F21,MAX(0,Summary!B24-SUM(E$8:E24))),0)</x:f>
        <x:v>0</x:v>
      </x:c>
      <x:c r="F25" s="38" t="n">
        <x:f>IF(AND('Grant BOM'!G21="Required",ISNUMBER('Grant BOM'!F21)),MIN(MAX(0,'Grant BOM'!F21-E25),MAX(0,MIN(Summary!B25,Summary!B26)-SUM(F$8:F24))),0)</x:f>
        <x:v>250</x:v>
      </x:c>
      <x:c r="G25" s="38" t="n">
        <x:f>IF(AND('Grant BOM'!G21="Required",ISNUMBER('Grant BOM'!F21)),MAX(0,'Grant BOM'!F21-E25-F25),0)</x:f>
        <x:v>0</x:v>
      </x:c>
    </x:row>
    <x:row r="26" ht="125" customHeight="1">
      <x:c r="A26" s="23" t="str">
        <x:v>B15 · 2/0 copper battery cable, lugs, heat shrink</x:v>
      </x:c>
      <x:c r="B26" s="23" t="str">
        <x:v>Owner-supplied v06 BOM row 16</x:v>
      </x:c>
      <x:c r="C26" s="23" t="str">
        <x:v>Assistant expanded allowance: cable $200 + terminations/boots $100. Final routing and ampacity may change gauge/length.</x:v>
      </x:c>
      <x:c r="D26" s="23" t="str">
        <x:v>Retained $300 allowance. Victron 48/5000 manual gives 2/0 AWG for its 0–5 m DC run category; exact installation ampacity, routing, lengths and fuse coordination remain unapproved. Include shunt and junction links.</x:v>
      </x:c>
      <x:c r="E26" s="37" t="n">
        <x:f>IF(AND('Grant BOM'!G22="Required",ISNUMBER('Grant BOM'!F22)),MIN('Grant BOM'!F22,MAX(0,Summary!B24-SUM(E$8:E25))),0)</x:f>
        <x:v>0</x:v>
      </x:c>
      <x:c r="F26" s="37" t="n">
        <x:f>IF(AND('Grant BOM'!G22="Required",ISNUMBER('Grant BOM'!F22)),MIN(MAX(0,'Grant BOM'!F22-E26),MAX(0,MIN(Summary!B25,Summary!B26)-SUM(F$8:F25))),0)</x:f>
        <x:v>300</x:v>
      </x:c>
      <x:c r="G26" s="37" t="n">
        <x:f>IF(AND('Grant BOM'!G22="Required",ISNUMBER('Grant BOM'!F22)),MAX(0,'Grant BOM'!F22-E26-F26),0)</x:f>
        <x:v>0</x:v>
      </x:c>
    </x:row>
    <x:row r="27" ht="125" customHeight="1">
      <x:c r="A27" s="24" t="str">
        <x:v>B16 · Battery rack / transport restraint</x:v>
      </x:c>
      <x:c r="B27" s="24" t="str">
        <x:v>Owner-supplied v06 BOM row 17</x:v>
      </x:c>
      <x:c r="C27" s="24" t="str">
        <x:v>Supplied v06 BOM row 17; retained planning allowance, not a vendor quote.</x:v>
      </x:c>
      <x:c r="D27" s="24" t="str">
        <x:v>Final invoice, quantity and installation requirements to verify.</x:v>
      </x:c>
      <x:c r="E27" s="38" t="n">
        <x:f>IF(AND('Grant BOM'!G23="Required",ISNUMBER('Grant BOM'!F23)),MIN('Grant BOM'!F23,MAX(0,Summary!B24-SUM(E$8:E26))),0)</x:f>
        <x:v>0</x:v>
      </x:c>
      <x:c r="F27" s="38" t="n">
        <x:f>IF(AND('Grant BOM'!G23="Required",ISNUMBER('Grant BOM'!F23)),MIN(MAX(0,'Grant BOM'!F23-E27),MAX(0,MIN(Summary!B25,Summary!B26)-SUM(F$8:F26))),0)</x:f>
        <x:v>150</x:v>
      </x:c>
      <x:c r="G27" s="38" t="n">
        <x:f>IF(AND('Grant BOM'!G23="Required",ISNUMBER('Grant BOM'!F23)),MAX(0,'Grant BOM'!F23-E27-F27),0)</x:f>
        <x:v>0</x:v>
      </x:c>
    </x:row>
    <x:row r="28" ht="125" customHeight="1">
      <x:c r="A28" s="23" t="str">
        <x:v>B17 · 120 V load center</x:v>
      </x:c>
      <x:c r="B28" s="23" t="str">
        <x:v>https://shop.holmanrv.com/eshop/p/807_6454_84362_pgdpd50k3q2gp/5000-series-pd50k3q2gp-power-distribution-box</x:v>
      </x:c>
      <x:c r="C28" s="23" t="str">
        <x:v>Published $126.50 reference; live supplier confirmation still needed. Replaces premium marine-panel selection. Manufacturer: https://www.progressivedyn.com/pd5000-ac-dc/</x:v>
      </x:c>
      <x:c r="D28" s="23" t="str">
        <x:v>Main and branch breakers separate. Protected indoor bay installation; reviewer must approve neutral/ground arrangement and mobile application.</x:v>
      </x:c>
      <x:c r="E28" s="37" t="n">
        <x:f>IF(AND('Grant BOM'!G24="Required",ISNUMBER('Grant BOM'!F24)),MIN('Grant BOM'!F24,MAX(0,Summary!B24-SUM(E$8:E27))),0)</x:f>
        <x:v>0</x:v>
      </x:c>
      <x:c r="F28" s="37" t="n">
        <x:f>IF(AND('Grant BOM'!G24="Required",ISNUMBER('Grant BOM'!F24)),MIN(MAX(0,'Grant BOM'!F24-E28),MAX(0,MIN(Summary!B25,Summary!B26)-SUM(F$8:F27))),0)</x:f>
        <x:v>126.5</x:v>
      </x:c>
      <x:c r="G28" s="37" t="n">
        <x:f>IF(AND('Grant BOM'!G24="Required",ISNUMBER('Grant BOM'!F24)),MAX(0,'Grant BOM'!F24-E28-F28),0)</x:f>
        <x:v>0</x:v>
      </x:c>
    </x:row>
    <x:row r="29" ht="125" customHeight="1">
      <x:c r="A29" s="24" t="str">
        <x:v>B18 · AC branch breakers</x:v>
      </x:c>
      <x:c r="B29" s="24" t="str">
        <x:v>https://www.progressivedyn.com/pd5000-ac-dc/</x:v>
      </x:c>
      <x:c r="C29" s="24" t="str">
        <x:v>Restores source $60 breaker allowance for lower-cost RV panel. Exact approved breaker family and current seller price still to verify.</x:v>
      </x:c>
      <x:c r="D29" s="24" t="str">
        <x:v>Does not include a 12 V converter. Shared 30 A AC main limits simultaneous outputs.</x:v>
      </x:c>
      <x:c r="E29" s="38" t="n">
        <x:f>IF(AND('Grant BOM'!G25="Required",ISNUMBER('Grant BOM'!F25)),MIN('Grant BOM'!F25,MAX(0,Summary!B24-SUM(E$8:E28))),0)</x:f>
        <x:v>0</x:v>
      </x:c>
      <x:c r="F29" s="38" t="n">
        <x:f>IF(AND('Grant BOM'!G25="Required",ISNUMBER('Grant BOM'!F25)),MIN(MAX(0,'Grant BOM'!F25-E29),MAX(0,MIN(Summary!B25,Summary!B26)-SUM(F$8:F28))),0)</x:f>
        <x:v>60</x:v>
      </x:c>
      <x:c r="G29" s="38" t="n">
        <x:f>IF(AND('Grant BOM'!G25="Required",ISNUMBER('Grant BOM'!F25)),MAX(0,'Grant BOM'!F25-E29-F29),0)</x:f>
        <x:v>0</x:v>
      </x:c>
    </x:row>
    <x:row r="30" ht="125" customHeight="1">
      <x:c r="A30" s="23" t="str">
        <x:v>B19 · TT-30R RV receptacle / weatherproof enclosure</x:v>
      </x:c>
      <x:c r="B30" s="23" t="str">
        <x:v>https://www.homedepot.com/p/338912387</x:v>
      </x:c>
      <x:c r="C30" s="23" t="str">
        <x:v>Advertised unit price checked 17 Sep 2026; tax and delivery excluded.</x:v>
      </x:c>
      <x:c r="D30" s="23" t="str">
        <x:v>Final invoice, quantity and installation requirements to verify.</x:v>
      </x:c>
      <x:c r="E30" s="37" t="n">
        <x:f>IF(AND('Grant BOM'!G26="Required",ISNUMBER('Grant BOM'!F26)),MIN('Grant BOM'!F26,MAX(0,Summary!B24-SUM(E$8:E29))),0)</x:f>
        <x:v>0</x:v>
      </x:c>
      <x:c r="F30" s="37" t="n">
        <x:f>IF(AND('Grant BOM'!G26="Required",ISNUMBER('Grant BOM'!F26)),MIN(MAX(0,'Grant BOM'!F26-E30),MAX(0,MIN(Summary!B25,Summary!B26)-SUM(F$8:F29))),0)</x:f>
        <x:v>26.79</x:v>
      </x:c>
      <x:c r="G30" s="37" t="n">
        <x:f>IF(AND('Grant BOM'!G26="Required",ISNUMBER('Grant BOM'!F26)),MAX(0,'Grant BOM'!F26-E30-F30),0)</x:f>
        <x:v>0</x:v>
      </x:c>
    </x:row>
    <x:row r="31" ht="125" customHeight="1">
      <x:c r="A31" s="24" t="str">
        <x:v>B20 · 20 A GFCI outdoor receptacles</x:v>
      </x:c>
      <x:c r="B31" s="24" t="str">
        <x:v>https://www.homedepot.com/p/300314512</x:v>
      </x:c>
      <x:c r="C31" s="24" t="str">
        <x:v>Mixed kit: confirmed $17.80 receptacle plus $20 hardware estimate each; total remains Estimate.</x:v>
      </x:c>
      <x:c r="D31" s="24" t="str">
        <x:v>Final invoice, quantity and installation requirements to verify.</x:v>
      </x:c>
      <x:c r="E31" s="38" t="n">
        <x:f>IF(AND('Grant BOM'!G27="Required",ISNUMBER('Grant BOM'!F27)),MIN('Grant BOM'!F27,MAX(0,Summary!B24-SUM(E$8:E30))),0)</x:f>
        <x:v>0</x:v>
      </x:c>
      <x:c r="F31" s="38" t="n">
        <x:f>IF(AND('Grant BOM'!G27="Required",ISNUMBER('Grant BOM'!F27)),MIN(MAX(0,'Grant BOM'!F27-E31),MAX(0,MIN(Summary!B25,Summary!B26)-SUM(F$8:F30))),0)</x:f>
        <x:v>75.6</x:v>
      </x:c>
      <x:c r="G31" s="38" t="n">
        <x:f>IF(AND('Grant BOM'!G27="Required",ISNUMBER('Grant BOM'!F27)),MAX(0,'Grant BOM'!F27-E31-F31),0)</x:f>
        <x:v>0</x:v>
      </x:c>
    </x:row>
    <x:row r="32" ht="125" customHeight="1">
      <x:c r="A32" s="23" t="str">
        <x:v>B21 · AC wire, conduit, junction boxes, fittings</x:v>
      </x:c>
      <x:c r="B32" s="23" t="str">
        <x:v>Owner-supplied v06 BOM row 22</x:v>
      </x:c>
      <x:c r="C32" s="23" t="str">
        <x:v>Retained $160 cable/fittings allowance. The former Renogy 8 AWG feeder specification is withdrawn; confirm manufacturer terminal and conductor requirements for the selected Victron installation.</x:v>
      </x:c>
      <x:c r="D32" s="23" t="str">
        <x:v>Do not infer AC cable sizes from the 30 A panel main alone. Optional shore input and PowerAssist settings must be coordinated with all conductor and protective-device limits.</x:v>
      </x:c>
      <x:c r="E32" s="37" t="n">
        <x:f>IF(AND('Grant BOM'!G28="Required",ISNUMBER('Grant BOM'!F28)),MIN('Grant BOM'!F28,MAX(0,Summary!B24-SUM(E$8:E31))),0)</x:f>
        <x:v>0</x:v>
      </x:c>
      <x:c r="F32" s="37" t="n">
        <x:f>IF(AND('Grant BOM'!G28="Required",ISNUMBER('Grant BOM'!F28)),MIN(MAX(0,'Grant BOM'!F28-E32),MAX(0,MIN(Summary!B25,Summary!B26)-SUM(F$8:F31))),0)</x:f>
        <x:v>160</x:v>
      </x:c>
      <x:c r="G32" s="37" t="n">
        <x:f>IF(AND('Grant BOM'!G28="Required",ISNUMBER('Grant BOM'!F28)),MAX(0,'Grant BOM'!F28-E32-F32),0)</x:f>
        <x:v>0</x:v>
      </x:c>
    </x:row>
    <x:row r="33" ht="125" customHeight="1">
      <x:c r="A33" s="24" t="str">
        <x:v>B22 · Roof rails, brackets and panel mounting hardware</x:v>
      </x:c>
      <x:c r="B33" s="24" t="str">
        <x:v>Owner-supplied v06 BOM row 23</x:v>
      </x:c>
      <x:c r="C33" s="24" t="str">
        <x:v>Supplied v06 BOM row 23; retained planning allowance, not a vendor quote.</x:v>
      </x:c>
      <x:c r="D33" s="24" t="str">
        <x:v>Must attach to structural members, not roof skin alone.</x:v>
      </x:c>
      <x:c r="E33" s="38" t="n">
        <x:f>IF(AND('Grant BOM'!G29="Required",ISNUMBER('Grant BOM'!F29)),MIN('Grant BOM'!F29,MAX(0,Summary!B24-SUM(E$8:E32))),0)</x:f>
        <x:v>0</x:v>
      </x:c>
      <x:c r="F33" s="38" t="n">
        <x:f>IF(AND('Grant BOM'!G29="Required",ISNUMBER('Grant BOM'!F29)),MIN(MAX(0,'Grant BOM'!F29-E33),MAX(0,MIN(Summary!B25,Summary!B26)-SUM(F$8:F32))),0)</x:f>
        <x:v>250</x:v>
      </x:c>
      <x:c r="G33" s="38" t="n">
        <x:f>IF(AND('Grant BOM'!G29="Required",ISNUMBER('Grant BOM'!F29)),MAX(0,'Grant BOM'!F29-E33-F33),0)</x:f>
        <x:v>0</x:v>
      </x:c>
    </x:row>
    <x:row r="34" ht="125" customHeight="1">
      <x:c r="A34" s="23" t="str">
        <x:v>B23 · 1.5 in square steel structural backbone tube</x:v>
      </x:c>
      <x:c r="B34" s="23" t="str">
        <x:v>https://www.onlinemetals.com/en/buy/carbon-steel/1-5-x-0-12-carbon-steel-square-tube-a500-a513-hot-rolled/pid/10326</x:v>
      </x:c>
      <x:c r="C34" s="23" t="str">
        <x:v>$10.36 per ft retained from supplied v06; live configured-length price not verified. Estimate excludes delivery.</x:v>
      </x:c>
      <x:c r="D34" s="23" t="str">
        <x:v>Reference section only. Structural review must confirm spans, fatigue, wall attachment and transport loads.</x:v>
      </x:c>
      <x:c r="E34" s="37" t="n">
        <x:f>IF(AND('Grant BOM'!G30="Required",ISNUMBER('Grant BOM'!F30)),MIN('Grant BOM'!F30,MAX(0,Summary!B24-SUM(E$8:E33))),0)</x:f>
        <x:v>0</x:v>
      </x:c>
      <x:c r="F34" s="37" t="n">
        <x:f>IF(AND('Grant BOM'!G30="Required",ISNUMBER('Grant BOM'!F30)),MIN(MAX(0,'Grant BOM'!F30-E34),MAX(0,MIN(Summary!B25,Summary!B26)-SUM(F$8:F33))),0)</x:f>
        <x:v>331.52</x:v>
      </x:c>
      <x:c r="G34" s="37" t="n">
        <x:f>IF(AND('Grant BOM'!G30="Required",ISNUMBER('Grant BOM'!F30)),MAX(0,'Grant BOM'!F30-E34-F34),0)</x:f>
        <x:v>0</x:v>
      </x:c>
    </x:row>
    <x:row r="35" ht="125" customHeight="1">
      <x:c r="A35" s="24" t="str">
        <x:v>B24 · Backbone mounting brackets / weld plates</x:v>
      </x:c>
      <x:c r="B35" s="24" t="str">
        <x:v>Owner-supplied v06 BOM row 25</x:v>
      </x:c>
      <x:c r="C35" s="24" t="str">
        <x:v>Supplied v06 BOM row 25; retained planning allowance, not a vendor quote.</x:v>
      </x:c>
      <x:c r="D35" s="24" t="str">
        <x:v>Final invoice, quantity and installation requirements to verify.</x:v>
      </x:c>
      <x:c r="E35" s="38" t="n">
        <x:f>IF(AND('Grant BOM'!G31="Required",ISNUMBER('Grant BOM'!F31)),MIN('Grant BOM'!F31,MAX(0,Summary!B24-SUM(E$8:E34))),0)</x:f>
        <x:v>0</x:v>
      </x:c>
      <x:c r="F35" s="38" t="n">
        <x:f>IF(AND('Grant BOM'!G31="Required",ISNUMBER('Grant BOM'!F31)),MIN(MAX(0,'Grant BOM'!F31-E35),MAX(0,MIN(Summary!B25,Summary!B26)-SUM(F$8:F34))),0)</x:f>
        <x:v>120</x:v>
      </x:c>
      <x:c r="G35" s="38" t="n">
        <x:f>IF(AND('Grant BOM'!G31="Required",ISNUMBER('Grant BOM'!F31)),MAX(0,'Grant BOM'!F31-E35-F35),0)</x:f>
        <x:v>0</x:v>
      </x:c>
    </x:row>
    <x:row r="36" ht="125" customHeight="1">
      <x:c r="A36" s="23" t="str">
        <x:v>B25 · Aluminum wing carrier rails / frames</x:v>
      </x:c>
      <x:c r="B36" s="23" t="str">
        <x:v>Owner-supplied v06 BOM row 26</x:v>
      </x:c>
      <x:c r="C36" s="23" t="str">
        <x:v>Supplied v06 BOM row 26; retained planning allowance, not a vendor quote.</x:v>
      </x:c>
      <x:c r="D36" s="23" t="str">
        <x:v>$5/ft source allowance; exact section and cut list not yet engineered.</x:v>
      </x:c>
      <x:c r="E36" s="37" t="n">
        <x:f>IF(AND('Grant BOM'!G32="Required",ISNUMBER('Grant BOM'!F32)),MIN('Grant BOM'!F32,MAX(0,Summary!B24-SUM(E$8:E35))),0)</x:f>
        <x:v>0</x:v>
      </x:c>
      <x:c r="F36" s="37" t="n">
        <x:f>IF(AND('Grant BOM'!G32="Required",ISNUMBER('Grant BOM'!F32)),MIN(MAX(0,'Grant BOM'!F32-E36),MAX(0,MIN(Summary!B25,Summary!B26)-SUM(F$8:F35))),0)</x:f>
        <x:v>300</x:v>
      </x:c>
      <x:c r="G36" s="37" t="n">
        <x:f>IF(AND('Grant BOM'!G32="Required",ISNUMBER('Grant BOM'!F32)),MAX(0,'Grant BOM'!F32-E36-F36),0)</x:f>
        <x:v>0</x:v>
      </x:c>
    </x:row>
    <x:row r="37" ht="125" customHeight="1">
      <x:c r="A37" s="24" t="str">
        <x:v>B26 · Aluminum diagonal brace tubing</x:v>
      </x:c>
      <x:c r="B37" s="24" t="str">
        <x:v>Owner-supplied v06 BOM row 27</x:v>
      </x:c>
      <x:c r="C37" s="24" t="str">
        <x:v>Supplied v06 BOM row 27; retained planning allowance, not a vendor quote.</x:v>
      </x:c>
      <x:c r="D37" s="24" t="str">
        <x:v>Final invoice, quantity and installation requirements to verify.</x:v>
      </x:c>
      <x:c r="E37" s="38" t="n">
        <x:f>IF(AND('Grant BOM'!G33="Required",ISNUMBER('Grant BOM'!F33)),MIN('Grant BOM'!F33,MAX(0,Summary!B24-SUM(E$8:E36))),0)</x:f>
        <x:v>0</x:v>
      </x:c>
      <x:c r="F37" s="38" t="n">
        <x:f>IF(AND('Grant BOM'!G33="Required",ISNUMBER('Grant BOM'!F33)),MIN(MAX(0,'Grant BOM'!F33-E37),MAX(0,MIN(Summary!B25,Summary!B26)-SUM(F$8:F36))),0)</x:f>
        <x:v>99.9</x:v>
      </x:c>
      <x:c r="G37" s="38" t="n">
        <x:f>IF(AND('Grant BOM'!G33="Required",ISNUMBER('Grant BOM'!F33)),MAX(0,'Grant BOM'!F33-E37-F37),0)</x:f>
        <x:v>0</x:v>
      </x:c>
    </x:row>
    <x:row r="38" ht="125" customHeight="1">
      <x:c r="A38" s="23" t="str">
        <x:v>B27 · Heavy hinge / pivot hardware with bushings</x:v>
      </x:c>
      <x:c r="B38" s="23" t="str">
        <x:v>Owner-supplied v06 BOM row 28</x:v>
      </x:c>
      <x:c r="C38" s="23" t="str">
        <x:v>Supplied v06 BOM row 28; retained planning allowance, not a vendor quote.</x:v>
      </x:c>
      <x:c r="D38" s="23" t="str">
        <x:v>$12.50 per assembly source estimate; not a verified rated hinge selection.</x:v>
      </x:c>
      <x:c r="E38" s="37" t="n">
        <x:f>IF(AND('Grant BOM'!G34="Required",ISNUMBER('Grant BOM'!F34)),MIN('Grant BOM'!F34,MAX(0,Summary!B24-SUM(E$8:E37))),0)</x:f>
        <x:v>0</x:v>
      </x:c>
      <x:c r="F38" s="37" t="n">
        <x:f>IF(AND('Grant BOM'!G34="Required",ISNUMBER('Grant BOM'!F34)),MIN(MAX(0,'Grant BOM'!F34-E38),MAX(0,MIN(Summary!B25,Summary!B26)-SUM(F$8:F37))),0)</x:f>
        <x:v>150</x:v>
      </x:c>
      <x:c r="G38" s="37" t="n">
        <x:f>IF(AND('Grant BOM'!G34="Required",ISNUMBER('Grant BOM'!F34)),MAX(0,'Grant BOM'!F34-E38-F38),0)</x:f>
        <x:v>0</x:v>
      </x:c>
    </x:row>
    <x:row r="39" ht="125" customHeight="1">
      <x:c r="A39" s="24" t="str">
        <x:v>B28 · 1/2 in clevis / hitch pins</x:v>
      </x:c>
      <x:c r="B39" s="24" t="str">
        <x:v>Owner-supplied v06 BOM row 29</x:v>
      </x:c>
      <x:c r="C39" s="24" t="str">
        <x:v>Supplied v06 BOM row 29; retained planning allowance, not a vendor quote.</x:v>
      </x:c>
      <x:c r="D39" s="24" t="str">
        <x:v>Final invoice, quantity and installation requirements to verify.</x:v>
      </x:c>
      <x:c r="E39" s="38" t="n">
        <x:f>IF(AND('Grant BOM'!G35="Required",ISNUMBER('Grant BOM'!F35)),MIN('Grant BOM'!F35,MAX(0,Summary!B24-SUM(E$8:E38))),0)</x:f>
        <x:v>0</x:v>
      </x:c>
      <x:c r="F39" s="38" t="n">
        <x:f>IF(AND('Grant BOM'!G35="Required",ISNUMBER('Grant BOM'!F35)),MIN(MAX(0,'Grant BOM'!F35-E39),MAX(0,MIN(Summary!B25,Summary!B26)-SUM(F$8:F38))),0)</x:f>
        <x:v>64</x:v>
      </x:c>
      <x:c r="G39" s="38" t="n">
        <x:f>IF(AND('Grant BOM'!G35="Required",ISNUMBER('Grant BOM'!F35)),MAX(0,'Grant BOM'!F35-E39-F39),0)</x:f>
        <x:v>0</x:v>
      </x:c>
    </x:row>
    <x:row r="40" ht="125" customHeight="1">
      <x:c r="A40" s="23" t="str">
        <x:v>B29 · Over-center travel latches</x:v>
      </x:c>
      <x:c r="B40" s="23" t="str">
        <x:v>Owner-supplied v06 BOM row 30</x:v>
      </x:c>
      <x:c r="C40" s="23" t="str">
        <x:v>Supplied v06 BOM row 30; retained planning allowance, not a vendor quote.</x:v>
      </x:c>
      <x:c r="D40" s="23" t="str">
        <x:v>$12.50 each source estimate; keeper included in allowance.</x:v>
      </x:c>
      <x:c r="E40" s="37" t="n">
        <x:f>IF(AND('Grant BOM'!G36="Required",ISNUMBER('Grant BOM'!F36)),MIN('Grant BOM'!F36,MAX(0,Summary!B24-SUM(E$8:E39))),0)</x:f>
        <x:v>0</x:v>
      </x:c>
      <x:c r="F40" s="37" t="n">
        <x:f>IF(AND('Grant BOM'!G36="Required",ISNUMBER('Grant BOM'!F36)),MIN(MAX(0,'Grant BOM'!F36-E40),MAX(0,MIN(Summary!B25,Summary!B26)-SUM(F$8:F39))),0)</x:f>
        <x:v>100</x:v>
      </x:c>
      <x:c r="G40" s="37" t="n">
        <x:f>IF(AND('Grant BOM'!G36="Required",ISNUMBER('Grant BOM'!F36)),MAX(0,'Grant BOM'!F36-E40-F40),0)</x:f>
        <x:v>0</x:v>
      </x:c>
    </x:row>
    <x:row r="41" ht="125" customHeight="1">
      <x:c r="A41" s="24" t="str">
        <x:v>B30 · Wall reinforcement / backing plates</x:v>
      </x:c>
      <x:c r="B41" s="24" t="str">
        <x:v>Owner-supplied v06 BOM row 31</x:v>
      </x:c>
      <x:c r="C41" s="24" t="str">
        <x:v>Supplied v06 BOM row 31; retained planning allowance, not a vendor quote.</x:v>
      </x:c>
      <x:c r="D41" s="24" t="str">
        <x:v>Final invoice, quantity and installation requirements to verify.</x:v>
      </x:c>
      <x:c r="E41" s="38" t="n">
        <x:f>IF(AND('Grant BOM'!G37="Required",ISNUMBER('Grant BOM'!F37)),MIN('Grant BOM'!F37,MAX(0,Summary!B24-SUM(E$8:E40))),0)</x:f>
        <x:v>0</x:v>
      </x:c>
      <x:c r="F41" s="38" t="n">
        <x:f>IF(AND('Grant BOM'!G37="Required",ISNUMBER('Grant BOM'!F37)),MIN(MAX(0,'Grant BOM'!F37-E41),MAX(0,MIN(Summary!B25,Summary!B26)-SUM(F$8:F40))),0)</x:f>
        <x:v>150</x:v>
      </x:c>
      <x:c r="G41" s="38" t="n">
        <x:f>IF(AND('Grant BOM'!G37="Required",ISNUMBER('Grant BOM'!F37)),MAX(0,'Grant BOM'!F37-E41-F41),0)</x:f>
        <x:v>0</x:v>
      </x:c>
    </x:row>
    <x:row r="42" ht="125" customHeight="1">
      <x:c r="A42" s="23" t="str">
        <x:v>B31 · Safety retention cables / eye hardware</x:v>
      </x:c>
      <x:c r="B42" s="23" t="str">
        <x:v>Owner-supplied v06 BOM row 32</x:v>
      </x:c>
      <x:c r="C42" s="23" t="str">
        <x:v>Supplied v06 BOM row 32; retained planning allowance, not a vendor quote.</x:v>
      </x:c>
      <x:c r="D42" s="23" t="str">
        <x:v>Final invoice, quantity and installation requirements to verify.</x:v>
      </x:c>
      <x:c r="E42" s="37" t="n">
        <x:f>IF(AND('Grant BOM'!G38="Required",ISNUMBER('Grant BOM'!F38)),MIN('Grant BOM'!F38,MAX(0,Summary!B24-SUM(E$8:E41))),0)</x:f>
        <x:v>0</x:v>
      </x:c>
      <x:c r="F42" s="37" t="n">
        <x:f>IF(AND('Grant BOM'!G38="Required",ISNUMBER('Grant BOM'!F38)),MIN(MAX(0,'Grant BOM'!F38-E42),MAX(0,MIN(Summary!B25,Summary!B26)-SUM(F$8:F41))),0)</x:f>
        <x:v>75</x:v>
      </x:c>
      <x:c r="G42" s="37" t="n">
        <x:f>IF(AND('Grant BOM'!G38="Required",ISNUMBER('Grant BOM'!F38)),MAX(0,'Grant BOM'!F38-E42-F42),0)</x:f>
        <x:v>0</x:v>
      </x:c>
    </x:row>
    <x:row r="43" ht="125" customHeight="1">
      <x:c r="A43" s="24" t="str">
        <x:v>B32 · Stainless fasteners, isolators, sealant</x:v>
      </x:c>
      <x:c r="B43" s="24" t="str">
        <x:v>Owner-supplied v06 BOM row 33</x:v>
      </x:c>
      <x:c r="C43" s="24" t="str">
        <x:v>Supplied v06 BOM row 33; retained planning allowance, not a vendor quote.</x:v>
      </x:c>
      <x:c r="D43" s="24" t="str">
        <x:v>Final invoice, quantity and installation requirements to verify.</x:v>
      </x:c>
      <x:c r="E43" s="38" t="n">
        <x:f>IF(AND('Grant BOM'!G39="Required",ISNUMBER('Grant BOM'!F39)),MIN('Grant BOM'!F39,MAX(0,Summary!B24-SUM(E$8:E42))),0)</x:f>
        <x:v>0</x:v>
      </x:c>
      <x:c r="F43" s="38" t="n">
        <x:f>IF(AND('Grant BOM'!G39="Required",ISNUMBER('Grant BOM'!F39)),MIN(MAX(0,'Grant BOM'!F39-E43),MAX(0,MIN(Summary!B25,Summary!B26)-SUM(F$8:F42))),0)</x:f>
        <x:v>150</x:v>
      </x:c>
      <x:c r="G43" s="38" t="n">
        <x:f>IF(AND('Grant BOM'!G39="Required",ISNUMBER('Grant BOM'!F39)),MAX(0,'Grant BOM'!F39-E43-F43),0)</x:f>
        <x:v>0</x:v>
      </x:c>
    </x:row>
    <x:row r="44" ht="125" customHeight="1">
      <x:c r="A44" s="23" t="str">
        <x:v>B33 · Equipment bay materials</x:v>
      </x:c>
      <x:c r="B44" s="23" t="str">
        <x:v>Owner-supplied v06 BOM row 34</x:v>
      </x:c>
      <x:c r="C44" s="23" t="str">
        <x:v>Supplied v06 BOM row 34; retained planning allowance, not a vendor quote.</x:v>
      </x:c>
      <x:c r="D44" s="23" t="str">
        <x:v>$150 materials allowance. Must maintain inverter/battery clearances; excludes separate rack and ventilation.</x:v>
      </x:c>
      <x:c r="E44" s="37" t="n">
        <x:f>IF(AND('Grant BOM'!G40="Required",ISNUMBER('Grant BOM'!F40)),MIN('Grant BOM'!F40,MAX(0,Summary!B24-SUM(E$8:E43))),0)</x:f>
        <x:v>0</x:v>
      </x:c>
      <x:c r="F44" s="37" t="n">
        <x:f>IF(AND('Grant BOM'!G40="Required",ISNUMBER('Grant BOM'!F40)),MIN(MAX(0,'Grant BOM'!F40-E44),MAX(0,MIN(Summary!B25,Summary!B26)-SUM(F$8:F43))),0)</x:f>
        <x:v>150</x:v>
      </x:c>
      <x:c r="G44" s="37" t="n">
        <x:f>IF(AND('Grant BOM'!G40="Required",ISNUMBER('Grant BOM'!F40)),MAX(0,'Grant BOM'!F40-E44-F44),0)</x:f>
        <x:v>0</x:v>
      </x:c>
    </x:row>
    <x:row r="45" ht="125" customHeight="1">
      <x:c r="A45" s="24" t="str">
        <x:v>B34 · Filtered intake / exhaust ventilation</x:v>
      </x:c>
      <x:c r="B45" s="24" t="str">
        <x:v>https://acinfinity.com/airplate-t7-quiet-cabinet-cooling-fan-12-with-temperature-controller/</x:v>
      </x:c>
      <x:c r="C45" s="24" t="str">
        <x:v>Published T7 price $89.99 plus assistant filter/louver allowance $60; mixed kit remains Estimate.</x:v>
      </x:c>
      <x:c r="D45" s="24" t="str">
        <x:v>Protected indoor compartment installation; filter losses, dust ingress and heat rejection require testing. No positive-pressure performance claim.</x:v>
      </x:c>
      <x:c r="E45" s="38" t="n">
        <x:f>IF(AND('Grant BOM'!G41="Required",ISNUMBER('Grant BOM'!F41)),MIN('Grant BOM'!F41,MAX(0,Summary!B24-SUM(E$8:E44))),0)</x:f>
        <x:v>0</x:v>
      </x:c>
      <x:c r="F45" s="38" t="n">
        <x:f>IF(AND('Grant BOM'!G41="Required",ISNUMBER('Grant BOM'!F41)),MIN(MAX(0,'Grant BOM'!F41-E45),MAX(0,MIN(Summary!B25,Summary!B26)-SUM(F$8:F44))),0)</x:f>
        <x:v>149.99</x:v>
      </x:c>
      <x:c r="G45" s="38" t="n">
        <x:f>IF(AND('Grant BOM'!G41="Required",ISNUMBER('Grant BOM'!F41)),MAX(0,'Grant BOM'!F41-E45-F45),0)</x:f>
        <x:v>0</x:v>
      </x:c>
    </x:row>
    <x:row r="46" ht="125" customHeight="1">
      <x:c r="A46" s="23" t="str">
        <x:v>B35 · Temperature monitoring / alarm</x:v>
      </x:c>
      <x:c r="B46" s="23" t="str">
        <x:v>https://www.inkbird.com/collections/black-friday-super-sale/products/temperature-controller-itc-308</x:v>
      </x:c>
      <x:c r="C46" s="23" t="str">
        <x:v>Advertised unit price checked 17 Sep 2026; tax and delivery excluded.</x:v>
      </x:c>
      <x:c r="D46" s="23" t="str">
        <x:v>Non-WiFi reference. Protect controller from dust/moisture; not a substitute for battery BMS protection.</x:v>
      </x:c>
      <x:c r="E46" s="37" t="n">
        <x:f>IF(AND('Grant BOM'!G42="Required",ISNUMBER('Grant BOM'!F42)),MIN('Grant BOM'!F42,MAX(0,Summary!B24-SUM(E$8:E45))),0)</x:f>
        <x:v>0</x:v>
      </x:c>
      <x:c r="F46" s="37" t="n">
        <x:f>IF(AND('Grant BOM'!G42="Required",ISNUMBER('Grant BOM'!F42)),MIN(MAX(0,'Grant BOM'!F42-E46),MAX(0,MIN(Summary!B25,Summary!B26)-SUM(F$8:F45))),0)</x:f>
        <x:v>35.99</x:v>
      </x:c>
      <x:c r="G46" s="37" t="n">
        <x:f>IF(AND('Grant BOM'!G42="Required",ISNUMBER('Grant BOM'!F42)),MAX(0,'Grant BOM'!F42-E46-F46),0)</x:f>
        <x:v>0</x:v>
      </x:c>
    </x:row>
    <x:row r="47" ht="125" customHeight="1">
      <x:c r="A47" s="24" t="str">
        <x:v>B36 · Gaskets, cable glands, edge protection</x:v>
      </x:c>
      <x:c r="B47" s="24" t="str">
        <x:v>Owner-supplied v06 BOM row 37</x:v>
      </x:c>
      <x:c r="C47" s="24" t="str">
        <x:v>Supplied v06 BOM row 37; retained planning allowance, not a vendor quote.</x:v>
      </x:c>
      <x:c r="D47" s="24" t="str">
        <x:v>Final invoice, quantity and installation requirements to verify.</x:v>
      </x:c>
      <x:c r="E47" s="38" t="n">
        <x:f>IF(AND('Grant BOM'!G43="Required",ISNUMBER('Grant BOM'!F43)),MIN('Grant BOM'!F43,MAX(0,Summary!B24-SUM(E$8:E46))),0)</x:f>
        <x:v>0</x:v>
      </x:c>
      <x:c r="F47" s="38" t="n">
        <x:f>IF(AND('Grant BOM'!G43="Required",ISNUMBER('Grant BOM'!F43)),MIN(MAX(0,'Grant BOM'!F43-E47),MAX(0,MIN(Summary!B25,Summary!B26)-SUM(F$8:F46))),0)</x:f>
        <x:v>50</x:v>
      </x:c>
      <x:c r="G47" s="38" t="n">
        <x:f>IF(AND('Grant BOM'!G43="Required",ISNUMBER('Grant BOM'!F43)),MAX(0,'Grant BOM'!F43-E47-F47),0)</x:f>
        <x:v>0</x:v>
      </x:c>
    </x:row>
    <x:row r="48" ht="125" customHeight="1">
      <x:c r="A48" s="23" t="str">
        <x:v>B37 · Battery shunt / monitor</x:v>
      </x:c>
      <x:c r="B48" s="23" t="str">
        <x:v>https://battlebornbatteries.com/product/victron-smartshunt-battery-shunts/</x:v>
      </x:c>
      <x:c r="C48" s="23" t="str">
        <x:v>Advertised unit price checked 17 Sep 2026; tax and delivery excluded.</x:v>
      </x:c>
      <x:c r="D48" s="23" t="str">
        <x:v>Final invoice, quantity and installation requirements to verify.</x:v>
      </x:c>
      <x:c r="E48" s="37" t="n">
        <x:f>IF(AND('Grant BOM'!G44="Required",ISNUMBER('Grant BOM'!F44)),MIN('Grant BOM'!F44,MAX(0,Summary!B24-SUM(E$8:E47))),0)</x:f>
        <x:v>0</x:v>
      </x:c>
      <x:c r="F48" s="37" t="n">
        <x:f>IF(AND('Grant BOM'!G44="Required",ISNUMBER('Grant BOM'!F44)),MIN(MAX(0,'Grant BOM'!F44-E48),MAX(0,MIN(Summary!B25,Summary!B26)-SUM(F$8:F47))),0)</x:f>
        <x:v>100.3</x:v>
      </x:c>
      <x:c r="G48" s="37" t="n">
        <x:f>IF(AND('Grant BOM'!G44="Required",ISNUMBER('Grant BOM'!F44)),MAX(0,'Grant BOM'!F44-E48-F48),0)</x:f>
        <x:v>0</x:v>
      </x:c>
    </x:row>
    <x:row r="49" ht="125" customHeight="1">
      <x:c r="A49" s="24" t="str">
        <x:v>B38 · AC energy meter</x:v>
      </x:c>
      <x:c r="B49" s="24" t="str">
        <x:v>Owner-supplied v06 BOM row 39</x:v>
      </x:c>
      <x:c r="C49" s="24" t="str">
        <x:v>Assistant planning allowance increased from $35 to $75 for meter plus protective enclosure. Exact listed model to confirm.</x:v>
      </x:c>
      <x:c r="D49" s="24" t="str">
        <x:v>Measures shared AC output; not a 15 A plug-in meter on a 30 A circuit.</x:v>
      </x:c>
      <x:c r="E49" s="38" t="n">
        <x:f>IF(AND('Grant BOM'!G45="Required",ISNUMBER('Grant BOM'!F45)),MIN('Grant BOM'!F45,MAX(0,Summary!B24-SUM(E$8:E48))),0)</x:f>
        <x:v>0</x:v>
      </x:c>
      <x:c r="F49" s="38" t="n">
        <x:f>IF(AND('Grant BOM'!G45="Required",ISNUMBER('Grant BOM'!F45)),MIN(MAX(0,'Grant BOM'!F45-E49),MAX(0,MIN(Summary!B25,Summary!B26)-SUM(F$8:F48))),0)</x:f>
        <x:v>75</x:v>
      </x:c>
      <x:c r="G49" s="38" t="n">
        <x:f>IF(AND('Grant BOM'!G45="Required",ISNUMBER('Grant BOM'!F45)),MAX(0,'Grant BOM'!F45-E49-F49),0)</x:f>
        <x:v>0</x:v>
      </x:c>
    </x:row>
    <x:row r="50" ht="125" customHeight="1">
      <x:c r="A50" s="23" t="str">
        <x:v>B39 · Bonding, labels, warning placards, extinguisher</x:v>
      </x:c>
      <x:c r="B50" s="23" t="str">
        <x:v>Owner-supplied v06 BOM row 40</x:v>
      </x:c>
      <x:c r="C50" s="23" t="str">
        <x:v>Supplied v06 BOM row 40; retained planning allowance, not a vendor quote.</x:v>
      </x:c>
      <x:c r="D50" s="23" t="str">
        <x:v>Electrical review defines grounding, neutral bonding and applicable event requirements.</x:v>
      </x:c>
      <x:c r="E50" s="37" t="n">
        <x:f>IF(AND('Grant BOM'!G46="Required",ISNUMBER('Grant BOM'!F46)),MIN('Grant BOM'!F46,MAX(0,Summary!B24-SUM(E$8:E49))),0)</x:f>
        <x:v>0</x:v>
      </x:c>
      <x:c r="F50" s="37" t="n">
        <x:f>IF(AND('Grant BOM'!G46="Required",ISNUMBER('Grant BOM'!F46)),MIN(MAX(0,'Grant BOM'!F46-E50),MAX(0,MIN(Summary!B25,Summary!B26)-SUM(F$8:F49))),0)</x:f>
        <x:v>100</x:v>
      </x:c>
      <x:c r="G50" s="37" t="n">
        <x:f>IF(AND('Grant BOM'!G46="Required",ISNUMBER('Grant BOM'!F46)),MAX(0,'Grant BOM'!F46-E50-F50),0)</x:f>
        <x:v>0</x:v>
      </x:c>
    </x:row>
    <x:row r="51" ht="125" customHeight="1">
      <x:c r="A51" s="24" t="str">
        <x:v>B44 · PV branch protective devices</x:v>
      </x:c>
      <x:c r="B51" s="24" t="str">
        <x:v>https://solampio.com/MNEPV20-150-1PNP/</x:v>
      </x:c>
      <x:c r="C51" s="24" t="str">
        <x:v>Published price checked 17 Sep 2026. Final protection need and rating subject to electrical review.</x:v>
      </x:c>
      <x:c r="D51" s="24" t="str">
        <x:v>Final invoice, quantity and installation requirements to verify.</x:v>
      </x:c>
      <x:c r="E51" s="38" t="n">
        <x:f>IF(AND('Grant BOM'!G47="Required",ISNUMBER('Grant BOM'!F47)),MIN('Grant BOM'!F47,MAX(0,Summary!B24-SUM(E$8:E50))),0)</x:f>
        <x:v>0</x:v>
      </x:c>
      <x:c r="F51" s="38" t="n">
        <x:f>IF(AND('Grant BOM'!G47="Required",ISNUMBER('Grant BOM'!F47)),MIN(MAX(0,'Grant BOM'!F47-E51),MAX(0,MIN(Summary!B25,Summary!B26)-SUM(F$8:F50))),0)</x:f>
        <x:v>55.899999999999636</x:v>
      </x:c>
      <x:c r="G51" s="38" t="n">
        <x:f>IF(AND('Grant BOM'!G47="Required",ISNUMBER('Grant BOM'!F47)),MAX(0,'Grant BOM'!F47-E51-F51),0)</x:f>
        <x:v>48.100000000000364</x:v>
      </x:c>
    </x:row>
    <x:row r="52" ht="125" customHeight="1">
      <x:c r="A52" s="23" t="str">
        <x:v>B45 · MPPT battery-side cable kits</x:v>
      </x:c>
      <x:c r="B52" s="23" t="str">
        <x:v>Planning allowance; see price basis</x:v>
      </x:c>
      <x:c r="C52" s="23" t="str">
        <x:v>Assistant allowance: $45 wire + $20 terminations per controller. Separate from PV wire and main 2/0 cable.</x:v>
      </x:c>
      <x:c r="D52" s="23" t="str">
        <x:v>Final invoice, quantity and installation requirements to verify.</x:v>
      </x:c>
      <x:c r="E52" s="37" t="n">
        <x:f>IF(AND('Grant BOM'!G48="Required",ISNUMBER('Grant BOM'!F48)),MIN('Grant BOM'!F48,MAX(0,Summary!B24-SUM(E$8:E51))),0)</x:f>
        <x:v>0</x:v>
      </x:c>
      <x:c r="F52" s="37" t="n">
        <x:f>IF(AND('Grant BOM'!G48="Required",ISNUMBER('Grant BOM'!F48)),MIN(MAX(0,'Grant BOM'!F48-E52),MAX(0,MIN(Summary!B25,Summary!B26)-SUM(F$8:F51))),0)</x:f>
        <x:v>0</x:v>
      </x:c>
      <x:c r="G52" s="37" t="n">
        <x:f>IF(AND('Grant BOM'!G48="Required",ISNUMBER('Grant BOM'!F48)),MAX(0,'Grant BOM'!F48-E52-F52),0)</x:f>
        <x:v>130</x:v>
      </x:c>
    </x:row>
    <x:row r="53" ht="125" customHeight="1">
      <x:c r="A53" s="24" t="str">
        <x:v>B46 · Inverter configuration interface and cable</x:v>
      </x:c>
      <x:c r="B53" s="24" t="str">
        <x:v>https://shop.alchemyindustrial.com/products/interface-mk3-usb</x:v>
      </x:c>
      <x:c r="C53" s="24" t="str">
        <x:v>Assistant $100 allowance; published MK3 reference $75.65 but stock/USB variant unconfirmed; balance for cable.</x:v>
      </x:c>
      <x:c r="D53" s="24" t="str">
        <x:v>Final invoice, quantity and installation requirements to verify.</x:v>
      </x:c>
      <x:c r="E53" s="38" t="n">
        <x:f>IF(AND('Grant BOM'!G49="Required",ISNUMBER('Grant BOM'!F49)),MIN('Grant BOM'!F49,MAX(0,Summary!B24-SUM(E$8:E52))),0)</x:f>
        <x:v>0</x:v>
      </x:c>
      <x:c r="F53" s="38" t="n">
        <x:f>IF(AND('Grant BOM'!G49="Required",ISNUMBER('Grant BOM'!F49)),MIN(MAX(0,'Grant BOM'!F49-E53),MAX(0,MIN(Summary!B25,Summary!B26)-SUM(F$8:F52))),0)</x:f>
        <x:v>0</x:v>
      </x:c>
      <x:c r="G53" s="38" t="n">
        <x:f>IF(AND('Grant BOM'!G49="Required",ISNUMBER('Grant BOM'!F49)),MAX(0,'Grant BOM'!F49-E53-F53),0)</x:f>
        <x:v>100</x:v>
      </x:c>
    </x:row>
    <x:row r="54" ht="125" customHeight="1">
      <x:c r="A54" s="23" t="str">
        <x:v>B49 · Cargo restraints and stabilizing hardware</x:v>
      </x:c>
      <x:c r="B54" s="23" t="str">
        <x:v>Planning allowance; see price basis</x:v>
      </x:c>
      <x:c r="C54" s="23" t="str">
        <x:v>Assistant material allowance, excluding the vehicle itself, its battery and charger.</x:v>
      </x:c>
      <x:c r="D54" s="23" t="str">
        <x:v>Final invoice, quantity and installation requirements to verify.</x:v>
      </x:c>
      <x:c r="E54" s="37" t="n">
        <x:f>IF(AND('Grant BOM'!G50="Required",ISNUMBER('Grant BOM'!F50)),MIN('Grant BOM'!F50,MAX(0,Summary!B24-SUM(E$8:E53))),0)</x:f>
        <x:v>0</x:v>
      </x:c>
      <x:c r="F54" s="37" t="n">
        <x:f>IF(AND('Grant BOM'!G50="Required",ISNUMBER('Grant BOM'!F50)),MIN(MAX(0,'Grant BOM'!F50-E54),MAX(0,MIN(Summary!B25,Summary!B26)-SUM(F$8:F53))),0)</x:f>
        <x:v>0</x:v>
      </x:c>
      <x:c r="G54" s="37" t="n">
        <x:f>IF(AND('Grant BOM'!G50="Required",ISNUMBER('Grant BOM'!F50)),MAX(0,'Grant BOM'!F50-E54-F54),0)</x:f>
        <x:v>150</x:v>
      </x:c>
    </x:row>
    <x:row r="55" ht="125" customHeight="1">
      <x:c r="A55" s="24" t="str">
        <x:v>B57 · AC output ground-fault protection assembly</x:v>
      </x:c>
      <x:c r="B55" s="24" t="str">
        <x:v>https://www.victronenergy.com/media/pg/MultiPlus-II_120V/en/installation.html</x:v>
      </x:c>
      <x:c r="C55" s="24" t="str">
        <x:v>Retained $150 assembly allowance. Victron AC installation requires output earth-leakage and overcurrent protection; former Renogy-specific 40 A claim removed.</x:v>
      </x:c>
      <x:c r="D55" s="24" t="str">
        <x:v>Review neutral switching, Victron ground relay and trailer bonding for inverter and optional shore operation. No approved AC one-line is asserted.</x:v>
      </x:c>
      <x:c r="E55" s="38" t="n">
        <x:f>IF(AND('Grant BOM'!G51="Required",ISNUMBER('Grant BOM'!F51)),MIN('Grant BOM'!F51,MAX(0,Summary!B24-SUM(E$8:E54))),0)</x:f>
        <x:v>0</x:v>
      </x:c>
      <x:c r="F55" s="38" t="n">
        <x:f>IF(AND('Grant BOM'!G51="Required",ISNUMBER('Grant BOM'!F51)),MIN(MAX(0,'Grant BOM'!F51-E55),MAX(0,MIN(Summary!B25,Summary!B26)-SUM(F$8:F54))),0)</x:f>
        <x:v>0</x:v>
      </x:c>
      <x:c r="G55" s="38" t="n">
        <x:f>IF(AND('Grant BOM'!G51="Required",ISNUMBER('Grant BOM'!F51)),MAX(0,'Grant BOM'!F51-E55-F55),0)</x:f>
        <x:v>150</x:v>
      </x:c>
    </x:row>
    <x:row r="56" ht="125" customHeight="1">
      <x:c r="A56" s="23" t="str">
        <x:v>B58 · Common battery-bank feeder protection / isolation</x:v>
      </x:c>
      <x:c r="B56" s="23" t="str">
        <x:v>Owner-supplied DC-02, Section B</x:v>
      </x:c>
      <x:c r="C56" s="23" t="str">
        <x:v>Assistant allowance: protective device/holder $140 + disconnect $60 + mounting/cover $50. Specific known circuit function, not an additional general contingency.</x:v>
      </x:c>
      <x:c r="D56" s="23" t="str">
        <x:v>Coordinate combined battery fault current, individual battery fuses and every branch. Opening this device does not isolate PV or optional shore sources. Final parts may change cost.</x:v>
      </x:c>
      <x:c r="E56" s="37" t="n">
        <x:f>IF(AND('Grant BOM'!G52="Required",ISNUMBER('Grant BOM'!F52)),MIN('Grant BOM'!F52,MAX(0,Summary!B24-SUM(E$8:E55))),0)</x:f>
        <x:v>0</x:v>
      </x:c>
      <x:c r="F56" s="37" t="n">
        <x:f>IF(AND('Grant BOM'!G52="Required",ISNUMBER('Grant BOM'!F52)),MIN(MAX(0,'Grant BOM'!F52-E56),MAX(0,MIN(Summary!B25,Summary!B26)-SUM(F$8:F55))),0)</x:f>
        <x:v>0</x:v>
      </x:c>
      <x:c r="G56" s="37" t="n">
        <x:f>IF(AND('Grant BOM'!G52="Required",ISNUMBER('Grant BOM'!F52)),MAX(0,'Grant BOM'!F52-E56-F56),0)</x:f>
        <x:v>250</x:v>
      </x:c>
    </x:row>
    <x:row r="57" ht="125" customHeight="1">
      <x:c r="A57" s="24" t="str">
        <x:v>B59 · Battery-combining junctions and service fittings</x:v>
      </x:c>
      <x:c r="B57" s="24" t="str">
        <x:v>Owner-supplied DC-02, Section B</x:v>
      </x:c>
      <x:c r="C57" s="24" t="str">
        <x:v>Assistant $150 installation allowance, approximately $75 per battery-side junction including covers/fittings. Not an automatic requirement for two additional busbar products.</x:v>
      </x:c>
      <x:c r="D57" s="24" t="str">
        <x:v>Keep N0 distinct from N1 across the SmartShunt; only battery returns at N0. Validate integrated junctions and built-in battery disconnect suitability before buying additional hardware.</x:v>
      </x:c>
      <x:c r="E57" s="38" t="n">
        <x:f>IF(AND('Grant BOM'!G53="Required",ISNUMBER('Grant BOM'!F53)),MIN('Grant BOM'!F53,MAX(0,Summary!B24-SUM(E$8:E56))),0)</x:f>
        <x:v>0</x:v>
      </x:c>
      <x:c r="F57" s="38" t="n">
        <x:f>IF(AND('Grant BOM'!G53="Required",ISNUMBER('Grant BOM'!F53)),MIN(MAX(0,'Grant BOM'!F53-E57),MAX(0,MIN(Summary!B25,Summary!B26)-SUM(F$8:F56))),0)</x:f>
        <x:v>0</x:v>
      </x:c>
      <x:c r="G57" s="38" t="n">
        <x:f>IF(AND('Grant BOM'!G53="Required",ISNUMBER('Grant BOM'!F53)),MAX(0,'Grant BOM'!F53-E57-F57),0)</x:f>
        <x:v>150</x:v>
      </x:c>
    </x:row>
    <x:row r="58" ht="125" customHeight="1">
      <x:c r="A58" s="23" t="str">
        <x:v>B52 · Delivery / local collection</x:v>
      </x:c>
      <x:c r="B58" s="23" t="str">
        <x:v>Planning allowance; see price basis</x:v>
      </x:c>
      <x:c r="C58" s="23" t="str">
        <x:v>Assistant delivery allowance to Corona 92882. Exact residential/freight access and seller delivery charges remain unquoted.</x:v>
      </x:c>
      <x:c r="D58" s="23" t="str">
        <x:v>Final invoice, quantity and installation requirements to verify.</x:v>
      </x:c>
      <x:c r="E58" s="37" t="n">
        <x:f>IF(AND('Grant BOM'!G55="Required",ISNUMBER('Grant BOM'!F55)),MIN('Grant BOM'!F55,MAX(0,Summary!B24-SUM(E$8:E57))),0)</x:f>
        <x:v>0</x:v>
      </x:c>
      <x:c r="F58" s="37" t="n">
        <x:f>IF(AND('Grant BOM'!G55="Required",ISNUMBER('Grant BOM'!F55)),MIN(MAX(0,'Grant BOM'!F55-E58),MAX(0,MIN(Summary!B25,Summary!B26)-SUM(F$8:F57))),0)</x:f>
        <x:v>0</x:v>
      </x:c>
      <x:c r="G58" s="37" t="n">
        <x:f>IF(AND('Grant BOM'!G55="Required",ISNUMBER('Grant BOM'!F55)),MAX(0,'Grant BOM'!F55-E58-F58),0)</x:f>
        <x:v>550</x:v>
      </x:c>
    </x:row>
    <x:row r="59" ht="125" customHeight="1">
      <x:c r="A59" s="24" t="str">
        <x:v>B54 · Owner fabrication / installation labor</x:v>
      </x:c>
      <x:c r="B59" s="24" t="str">
        <x:v>Planning allowance; see price basis</x:v>
      </x:c>
      <x:c r="C59" s="24" t="str">
        <x:v>User explicitly confirmed free labor on 17 Sep 2026. $0 cash cost; no grant reimbursement.</x:v>
      </x:c>
      <x:c r="D59" s="24" t="str">
        <x:v>Final invoice, quantity and installation requirements to verify.</x:v>
      </x:c>
      <x:c r="E59" s="38" t="n">
        <x:f>IF(AND('Grant BOM'!G57="Required",ISNUMBER('Grant BOM'!F57)),MIN('Grant BOM'!F57,MAX(0,Summary!B24-SUM(E$8:E58))),0)</x:f>
        <x:v>0</x:v>
      </x:c>
      <x:c r="F59" s="38" t="n">
        <x:f>0</x:f>
        <x:v>0</x:v>
      </x:c>
      <x:c r="G59" s="38" t="n">
        <x:f>IF(AND('Grant BOM'!G57="Required",ISNUMBER('Grant BOM'!F57)),MAX(0,'Grant BOM'!F57-E59-F59),0)</x:f>
        <x:v>0</x:v>
      </x:c>
    </x:row>
    <x:row r="60" ht="125" customHeight="1">
      <x:c r="A60" s="23" t="str">
        <x:v>B40 · 30 A 120 V shore-power inlet and wiring</x:v>
      </x:c>
      <x:c r="B60" s="23" t="str">
        <x:v>Owner-supplied v06 BOM row 41</x:v>
      </x:c>
      <x:c r="C60" s="23" t="str">
        <x:v>Supplied v06 BOM row 41; retained planning allowance, not a vendor quote.</x:v>
      </x:c>
      <x:c r="D60" s="23" t="str">
        <x:v>Grounding / neutral arrangement must be reviewed.</x:v>
      </x:c>
      <x:c r="E60" s="37" t="n">
        <x:f>IF(AND('Grant BOM'!G60="Required",ISNUMBER('Grant BOM'!F60)),MIN('Grant BOM'!F60,MAX(0,Summary!B24-SUM(E$8:E59))),0)</x:f>
        <x:v>0</x:v>
      </x:c>
      <x:c r="F60" s="37" t="n">
        <x:f>IF(AND('Grant BOM'!G60="Required",ISNUMBER('Grant BOM'!F60)),MIN(MAX(0,'Grant BOM'!F60-E60),MAX(0,MIN(Summary!B25,Summary!B26)-SUM(F$8:F59))),0)</x:f>
        <x:v>0</x:v>
      </x:c>
      <x:c r="G60" s="37" t="n">
        <x:f>IF(AND('Grant BOM'!G60="Required",ISNUMBER('Grant BOM'!F60)),MAX(0,'Grant BOM'!F60-E60-F60),0)</x:f>
        <x:v>0</x:v>
      </x:c>
    </x:row>
    <x:row r="61" ht="125" customHeight="1">
      <x:c r="A61" s="24" t="str">
        <x:v>B41 · Third SmartSolar MPPT 150/35</x:v>
      </x:c>
      <x:c r="B61" s="24" t="str">
        <x:v>https://thesolarstore.com/products/victron-energy-smart-solar-150-35-mppt-charge-controller</x:v>
      </x:c>
      <x:c r="C61" s="24" t="str">
        <x:v>Advertised unit price checked 17 Sep 2026; tax and delivery excluded.</x:v>
      </x:c>
      <x:c r="D61" s="24" t="str">
        <x:v>Deferred controller-only alternative. Separate wing tracking requires redesign and additional feeds; this is not an installed upgrade quote.</x:v>
      </x:c>
      <x:c r="E61" s="38" t="n">
        <x:f>IF(AND('Grant BOM'!G61="Required",ISNUMBER('Grant BOM'!F61)),MIN('Grant BOM'!F61,MAX(0,Summary!B24-SUM(E$8:E60))),0)</x:f>
        <x:v>0</x:v>
      </x:c>
      <x:c r="F61" s="38" t="n">
        <x:f>IF(AND('Grant BOM'!G61="Required",ISNUMBER('Grant BOM'!F61)),MIN(MAX(0,'Grant BOM'!F61-E61),MAX(0,MIN(Summary!B25,Summary!B26)-SUM(F$8:F60))),0)</x:f>
        <x:v>0</x:v>
      </x:c>
      <x:c r="G61" s="38" t="n">
        <x:f>IF(AND('Grant BOM'!G61="Required",ISNUMBER('Grant BOM'!F61)),MAX(0,'Grant BOM'!F61-E61-F61),0)</x:f>
        <x:v>0</x:v>
      </x:c>
    </x:row>
    <x:row r="62" ht="125" customHeight="1">
      <x:c r="A62" s="23" t="str">
        <x:v>B42 · Exterior LED sign / camp lighting package</x:v>
      </x:c>
      <x:c r="B62" s="23" t="str">
        <x:v>Owner-supplied v06 BOM row 43</x:v>
      </x:c>
      <x:c r="C62" s="23" t="str">
        <x:v>Supplied v06 BOM row 43; retained planning allowance, not a vendor quote.</x:v>
      </x:c>
      <x:c r="D62" s="23" t="str">
        <x:v>Final invoice, quantity and installation requirements to verify.</x:v>
      </x:c>
      <x:c r="E62" s="37" t="n">
        <x:f>IF(AND('Grant BOM'!G62="Required",ISNUMBER('Grant BOM'!F62)),MIN('Grant BOM'!F62,MAX(0,Summary!B24-SUM(E$8:E61))),0)</x:f>
        <x:v>0</x:v>
      </x:c>
      <x:c r="F62" s="37" t="n">
        <x:f>IF(AND('Grant BOM'!G62="Required",ISNUMBER('Grant BOM'!F62)),MIN(MAX(0,'Grant BOM'!F62-E62),MAX(0,MIN(Summary!B25,Summary!B26)-SUM(F$8:F61))),0)</x:f>
        <x:v>0</x:v>
      </x:c>
      <x:c r="G62" s="37" t="n">
        <x:f>IF(AND('Grant BOM'!G62="Required",ISNUMBER('Grant BOM'!F62)),MAX(0,'Grant BOM'!F62-E62-F62),0)</x:f>
        <x:v>0</x:v>
      </x:c>
    </x:row>
    <x:row r="63" ht="125" customHeight="1">
      <x:c r="A63" s="24" t="str">
        <x:v>B43 · Ground-anchor / guy-line kit</x:v>
      </x:c>
      <x:c r="B63" s="24" t="str">
        <x:v>Owner-supplied v06 BOM row 44</x:v>
      </x:c>
      <x:c r="C63" s="24" t="str">
        <x:v>Supplied v06 BOM row 44; retained planning allowance, not a vendor quote.</x:v>
      </x:c>
      <x:c r="D63" s="24" t="str">
        <x:v>Optional secondary restraint; high-wind procedure is still to stow wings.</x:v>
      </x:c>
      <x:c r="E63" s="38" t="n">
        <x:f>IF(AND('Grant BOM'!G63="Required",ISNUMBER('Grant BOM'!F63)),MIN('Grant BOM'!F63,MAX(0,Summary!B24-SUM(E$8:E62))),0)</x:f>
        <x:v>0</x:v>
      </x:c>
      <x:c r="F63" s="38" t="n">
        <x:f>IF(AND('Grant BOM'!G63="Required",ISNUMBER('Grant BOM'!F63)),MIN(MAX(0,'Grant BOM'!F63-E63),MAX(0,MIN(Summary!B25,Summary!B26)-SUM(F$8:F62))),0)</x:f>
        <x:v>0</x:v>
      </x:c>
      <x:c r="G63" s="38" t="n">
        <x:f>IF(AND('Grant BOM'!G63="Required",ISNUMBER('Grant BOM'!F63)),MAX(0,'Grant BOM'!F63-E63-F63),0)</x:f>
        <x:v>0</x:v>
      </x:c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  <x:row r="66" ht="26" customHeight="1">
      <x:c r="A66" s="2"/>
      <x:c r="B66" s="2"/>
      <x:c r="C66" s="2"/>
      <x:c r="D66" s="2"/>
      <x:c r="E66" s="2"/>
      <x:c r="F66" s="2"/>
      <x:c r="G66" s="2"/>
    </x:row>
    <x:row r="67" ht="26" customHeight="1">
      <x:c r="A67" s="2"/>
      <x:c r="B67" s="2"/>
      <x:c r="C67" s="2"/>
      <x:c r="D67" s="2"/>
      <x:c r="E67" s="2"/>
      <x:c r="F67" s="2"/>
      <x:c r="G67" s="2"/>
    </x:row>
    <x:row r="68" ht="26" customHeight="1">
      <x:c r="A68" s="2"/>
      <x:c r="B68" s="2"/>
      <x:c r="C68" s="2"/>
      <x:c r="D68" s="2"/>
      <x:c r="E68" s="2"/>
      <x:c r="F68" s="2"/>
      <x:c r="G68" s="2"/>
    </x:row>
  </x:sheetData>
  <x:mergeCells>
    <x:mergeCell ref="A2:G2"/>
    <x:mergeCell ref="A3:G3"/>
    <x:mergeCell ref="A4:G4"/>
  </x:mergeCells>
  <x:conditionalFormatting sqref="G8:G63">
    <x:cfRule type="cellIs" dxfId="1" priority="1" operator="greaterThan">
      <x:formula>0</x:formula>
    </x:cfRule>
  </x:conditionalFormatting>
  <x:pageMargins left="0.7" right="0.7" top="0.75" bottom="0.75" header="0.3" footer="0.3"/>
</x:worksheet>
</file>